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IS\MED\Mammografi\2019 - ny vejledning\Førhøringsversion kladde juni 22\"/>
    </mc:Choice>
  </mc:AlternateContent>
  <bookViews>
    <workbookView xWindow="0" yWindow="0" windowWidth="28800" windowHeight="12435" tabRatio="827" activeTab="5"/>
  </bookViews>
  <sheets>
    <sheet name="Indledning" sheetId="11" r:id="rId1"/>
    <sheet name="Oplysningsside" sheetId="6" r:id="rId2"/>
    <sheet name="Kontroloversigt" sheetId="8" r:id="rId3"/>
    <sheet name="2. Røntgenrør m.m." sheetId="1" r:id="rId4"/>
    <sheet name="3. Lys- og røntgenfelt" sheetId="2" r:id="rId5"/>
    <sheet name="4. DR-detektor" sheetId="3" r:id="rId6"/>
    <sheet name="5. Automatik (AEC)" sheetId="4" r:id="rId7"/>
    <sheet name="6. Mekanisk kontrol" sheetId="5" r:id="rId8"/>
    <sheet name="7. Referencedosimetri" sheetId="9" r:id="rId9"/>
    <sheet name="Data" sheetId="7" state="hidden" r:id="rId10"/>
  </sheets>
  <definedNames>
    <definedName name="_Toc427911270" localSheetId="5">'4. DR-detektor'!$M$44</definedName>
    <definedName name="_Toc427911271" localSheetId="5">'4. DR-detektor'!$M$46</definedName>
    <definedName name="_xlnm.Print_Titles" localSheetId="8">'7. Referencedosimetri'!$1:$4</definedName>
  </definedNames>
  <calcPr calcId="162913"/>
</workbook>
</file>

<file path=xl/calcChain.xml><?xml version="1.0" encoding="utf-8"?>
<calcChain xmlns="http://schemas.openxmlformats.org/spreadsheetml/2006/main">
  <c r="B16" i="8" l="1"/>
  <c r="F119" i="4"/>
  <c r="O58" i="5" l="1"/>
  <c r="F27" i="5"/>
  <c r="E114" i="1"/>
  <c r="K54" i="2"/>
  <c r="L54" i="2" s="1"/>
  <c r="M54" i="2" s="1"/>
  <c r="K53" i="2"/>
  <c r="L53" i="2" s="1"/>
  <c r="M53" i="2" s="1"/>
  <c r="K52" i="2"/>
  <c r="L52" i="2" s="1"/>
  <c r="M52" i="2" s="1"/>
  <c r="K51" i="2"/>
  <c r="L51" i="2" s="1"/>
  <c r="M51" i="2" s="1"/>
  <c r="C186" i="1"/>
  <c r="I186" i="1" s="1"/>
  <c r="D186" i="1"/>
  <c r="E186" i="1"/>
  <c r="O59" i="5"/>
  <c r="E58" i="5"/>
  <c r="D60" i="5"/>
  <c r="E60" i="5" s="1"/>
  <c r="D59" i="5"/>
  <c r="E59" i="5" s="1"/>
  <c r="D58" i="5"/>
  <c r="C162" i="1"/>
  <c r="C163" i="1"/>
  <c r="C164" i="1"/>
  <c r="O76" i="4" l="1"/>
  <c r="J83" i="2"/>
  <c r="F54" i="2"/>
  <c r="G54" i="2" s="1"/>
  <c r="H54" i="2" s="1"/>
  <c r="F53" i="2"/>
  <c r="G53" i="2" s="1"/>
  <c r="H53" i="2" s="1"/>
  <c r="F52" i="2"/>
  <c r="G52" i="2" s="1"/>
  <c r="H52" i="2" s="1"/>
  <c r="F51" i="2"/>
  <c r="G51" i="2" s="1"/>
  <c r="H51" i="2" s="1"/>
  <c r="G27" i="2"/>
  <c r="J82" i="2" s="1"/>
  <c r="H82" i="2" l="1"/>
  <c r="D223" i="1"/>
  <c r="E223" i="1" l="1"/>
  <c r="F223" i="1"/>
  <c r="J148" i="3"/>
  <c r="J147" i="3"/>
  <c r="J146" i="3"/>
  <c r="J138" i="3"/>
  <c r="J137" i="3"/>
  <c r="J136" i="3"/>
  <c r="J135" i="3"/>
  <c r="J134" i="3"/>
  <c r="J133" i="3"/>
  <c r="B165" i="1"/>
  <c r="C165" i="1" s="1"/>
  <c r="B39" i="8" l="1"/>
  <c r="B34" i="8"/>
  <c r="B29" i="8"/>
  <c r="B21" i="8"/>
  <c r="B17" i="8"/>
  <c r="B9" i="8"/>
  <c r="B40" i="8"/>
  <c r="B38" i="8"/>
  <c r="B37" i="8"/>
  <c r="B36" i="8"/>
  <c r="B35" i="8"/>
  <c r="B33" i="8"/>
  <c r="B32" i="8"/>
  <c r="B31" i="8"/>
  <c r="B30" i="8"/>
  <c r="B28" i="8"/>
  <c r="B20" i="8"/>
  <c r="B19" i="8"/>
  <c r="B18" i="8"/>
  <c r="B15" i="8"/>
  <c r="B13" i="8"/>
  <c r="B14" i="8"/>
  <c r="B12" i="8"/>
  <c r="B11" i="8"/>
  <c r="B10" i="8"/>
  <c r="A71" i="4" l="1"/>
  <c r="D216" i="3" l="1"/>
  <c r="H178" i="3"/>
  <c r="A38" i="3"/>
  <c r="Q123" i="1" l="1"/>
  <c r="Q122" i="1"/>
  <c r="Q121" i="1"/>
  <c r="Q120" i="1"/>
  <c r="Q119" i="1"/>
  <c r="Q118" i="1"/>
  <c r="Q117" i="1"/>
  <c r="Q116" i="1"/>
  <c r="Q115" i="1"/>
  <c r="Q114" i="1"/>
  <c r="Q113" i="1"/>
  <c r="Q112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E123" i="1"/>
  <c r="E122" i="1"/>
  <c r="E121" i="1"/>
  <c r="E120" i="1"/>
  <c r="E119" i="1"/>
  <c r="E118" i="1"/>
  <c r="E117" i="1"/>
  <c r="E116" i="1"/>
  <c r="E115" i="1"/>
  <c r="E113" i="1"/>
  <c r="E112" i="1"/>
  <c r="D32" i="1" l="1"/>
  <c r="E32" i="1" s="1"/>
  <c r="D31" i="1"/>
  <c r="E31" i="1" s="1"/>
  <c r="D30" i="1"/>
  <c r="E30" i="1" s="1"/>
  <c r="D29" i="1"/>
  <c r="E29" i="1" s="1"/>
  <c r="D28" i="1"/>
  <c r="O4" i="9" l="1"/>
  <c r="I4" i="9"/>
  <c r="D4" i="9"/>
  <c r="O3" i="9"/>
  <c r="I3" i="9"/>
  <c r="D3" i="9"/>
  <c r="O2" i="9"/>
  <c r="I2" i="9"/>
  <c r="D2" i="9"/>
  <c r="O1" i="9"/>
  <c r="I1" i="9"/>
  <c r="D1" i="9"/>
  <c r="O4" i="5"/>
  <c r="I4" i="5"/>
  <c r="D4" i="5"/>
  <c r="O3" i="5"/>
  <c r="I3" i="5"/>
  <c r="D3" i="5"/>
  <c r="O2" i="5"/>
  <c r="I2" i="5"/>
  <c r="D2" i="5"/>
  <c r="O1" i="5"/>
  <c r="I1" i="5"/>
  <c r="D1" i="5"/>
  <c r="O4" i="4"/>
  <c r="I4" i="4"/>
  <c r="D4" i="4"/>
  <c r="O3" i="4"/>
  <c r="I3" i="4"/>
  <c r="D3" i="4"/>
  <c r="O2" i="4"/>
  <c r="I2" i="4"/>
  <c r="D2" i="4"/>
  <c r="O1" i="4"/>
  <c r="I1" i="4"/>
  <c r="D1" i="4"/>
  <c r="O4" i="3"/>
  <c r="I4" i="3"/>
  <c r="D4" i="3"/>
  <c r="O3" i="3"/>
  <c r="I3" i="3"/>
  <c r="D3" i="3"/>
  <c r="O2" i="3"/>
  <c r="I2" i="3"/>
  <c r="D2" i="3"/>
  <c r="O1" i="3"/>
  <c r="I1" i="3"/>
  <c r="D1" i="3"/>
  <c r="O4" i="2"/>
  <c r="I4" i="2"/>
  <c r="D4" i="2"/>
  <c r="O3" i="2"/>
  <c r="I3" i="2"/>
  <c r="D3" i="2"/>
  <c r="O2" i="2"/>
  <c r="I2" i="2"/>
  <c r="D2" i="2"/>
  <c r="O1" i="2"/>
  <c r="I1" i="2"/>
  <c r="D1" i="2"/>
  <c r="O4" i="1"/>
  <c r="I4" i="1"/>
  <c r="D4" i="1"/>
  <c r="O3" i="1"/>
  <c r="I3" i="1"/>
  <c r="D3" i="1"/>
  <c r="O2" i="1"/>
  <c r="I2" i="1"/>
  <c r="D2" i="1"/>
  <c r="O1" i="1"/>
  <c r="I1" i="1"/>
  <c r="D1" i="1"/>
  <c r="O4" i="8"/>
  <c r="I4" i="8"/>
  <c r="D4" i="8"/>
  <c r="O3" i="8"/>
  <c r="I3" i="8"/>
  <c r="D3" i="8"/>
  <c r="O2" i="8"/>
  <c r="I2" i="8"/>
  <c r="D2" i="8"/>
  <c r="O1" i="8"/>
  <c r="I1" i="8"/>
  <c r="D1" i="8"/>
  <c r="B5" i="6" l="1"/>
  <c r="D5" i="6" l="1"/>
  <c r="D4" i="6"/>
  <c r="B4" i="6"/>
  <c r="D3" i="6"/>
  <c r="B3" i="6"/>
  <c r="D2" i="6"/>
  <c r="B2" i="6"/>
  <c r="D141" i="4" l="1"/>
  <c r="C188" i="3"/>
  <c r="C186" i="3"/>
  <c r="H35" i="9" l="1"/>
  <c r="F35" i="9"/>
  <c r="E35" i="9"/>
  <c r="D35" i="9"/>
  <c r="H34" i="9"/>
  <c r="F34" i="9"/>
  <c r="E34" i="9"/>
  <c r="D34" i="9"/>
  <c r="H33" i="9"/>
  <c r="F33" i="9"/>
  <c r="E33" i="9"/>
  <c r="D33" i="9"/>
  <c r="H32" i="9"/>
  <c r="F32" i="9"/>
  <c r="E32" i="9"/>
  <c r="D32" i="9"/>
  <c r="H31" i="9"/>
  <c r="F31" i="9"/>
  <c r="E31" i="9"/>
  <c r="D31" i="9"/>
  <c r="H30" i="9"/>
  <c r="F30" i="9"/>
  <c r="E30" i="9"/>
  <c r="D30" i="9"/>
  <c r="H29" i="9"/>
  <c r="F29" i="9"/>
  <c r="E29" i="9"/>
  <c r="D29" i="9"/>
  <c r="J125" i="4"/>
  <c r="J124" i="4"/>
  <c r="J123" i="4"/>
  <c r="J122" i="4"/>
  <c r="J121" i="4"/>
  <c r="J120" i="4"/>
  <c r="J119" i="4"/>
  <c r="F125" i="4"/>
  <c r="F124" i="4"/>
  <c r="F123" i="4"/>
  <c r="F122" i="4"/>
  <c r="F121" i="4"/>
  <c r="F120" i="4"/>
  <c r="R7" i="8" l="1"/>
  <c r="O7" i="8"/>
  <c r="F73" i="3" l="1"/>
  <c r="O6" i="9" l="1"/>
  <c r="F75" i="3" l="1"/>
  <c r="F74" i="3"/>
  <c r="F79" i="3" s="1"/>
  <c r="H27" i="2" l="1"/>
  <c r="G79" i="3"/>
  <c r="F80" i="3"/>
  <c r="G80" i="3" s="1"/>
  <c r="F83" i="3"/>
  <c r="G83" i="3" s="1"/>
  <c r="F84" i="3"/>
  <c r="G84" i="3" s="1"/>
  <c r="F82" i="3"/>
  <c r="G82" i="3" s="1"/>
  <c r="F81" i="3"/>
  <c r="G81" i="3" s="1"/>
  <c r="D120" i="4"/>
  <c r="D121" i="4"/>
  <c r="D122" i="4"/>
  <c r="D123" i="4"/>
  <c r="D124" i="4"/>
  <c r="D125" i="4"/>
  <c r="D119" i="4"/>
  <c r="H79" i="3" l="1"/>
  <c r="I79" i="3" s="1"/>
  <c r="N34" i="9"/>
  <c r="N33" i="9"/>
  <c r="N32" i="9"/>
  <c r="N31" i="9"/>
  <c r="N30" i="9"/>
  <c r="N29" i="9"/>
  <c r="R6" i="9"/>
  <c r="J134" i="7" l="1"/>
  <c r="I134" i="7"/>
  <c r="H134" i="7"/>
  <c r="G134" i="7"/>
  <c r="F134" i="7"/>
  <c r="J133" i="7"/>
  <c r="I133" i="7"/>
  <c r="H133" i="7"/>
  <c r="G133" i="7"/>
  <c r="F133" i="7"/>
  <c r="J132" i="7"/>
  <c r="I132" i="7"/>
  <c r="H132" i="7"/>
  <c r="G132" i="7"/>
  <c r="F132" i="7"/>
  <c r="J131" i="7"/>
  <c r="I131" i="7"/>
  <c r="H131" i="7"/>
  <c r="G131" i="7"/>
  <c r="F131" i="7"/>
  <c r="J130" i="7"/>
  <c r="I130" i="7"/>
  <c r="H130" i="7"/>
  <c r="G130" i="7"/>
  <c r="F130" i="7"/>
  <c r="J129" i="7"/>
  <c r="I129" i="7"/>
  <c r="H129" i="7"/>
  <c r="G129" i="7"/>
  <c r="F129" i="7"/>
  <c r="J128" i="7"/>
  <c r="I128" i="7"/>
  <c r="H128" i="7"/>
  <c r="G128" i="7"/>
  <c r="F128" i="7"/>
  <c r="J127" i="7"/>
  <c r="I127" i="7"/>
  <c r="H127" i="7"/>
  <c r="G127" i="7"/>
  <c r="F127" i="7"/>
  <c r="J126" i="7"/>
  <c r="I126" i="7"/>
  <c r="H126" i="7"/>
  <c r="G126" i="7"/>
  <c r="F126" i="7"/>
  <c r="J125" i="7"/>
  <c r="I125" i="7"/>
  <c r="H125" i="7"/>
  <c r="G125" i="7"/>
  <c r="F125" i="7"/>
  <c r="J124" i="7"/>
  <c r="I124" i="7"/>
  <c r="H124" i="7"/>
  <c r="G124" i="7"/>
  <c r="F124" i="7"/>
  <c r="J123" i="7"/>
  <c r="I123" i="7"/>
  <c r="H123" i="7"/>
  <c r="G123" i="7"/>
  <c r="F123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R7" i="5"/>
  <c r="N7" i="5"/>
  <c r="S7" i="4"/>
  <c r="P7" i="4"/>
  <c r="R7" i="3"/>
  <c r="N7" i="3"/>
  <c r="R7" i="2"/>
  <c r="O7" i="2"/>
  <c r="R7" i="1"/>
  <c r="O7" i="1"/>
  <c r="N98" i="4" l="1"/>
  <c r="N97" i="4"/>
  <c r="N96" i="4"/>
  <c r="N95" i="4"/>
  <c r="N94" i="4"/>
  <c r="N93" i="4"/>
  <c r="N92" i="4"/>
  <c r="AB45" i="7"/>
  <c r="AA45" i="7" s="1"/>
  <c r="M92" i="4" s="1"/>
  <c r="AB46" i="7"/>
  <c r="AA46" i="7" s="1"/>
  <c r="M93" i="4" s="1"/>
  <c r="AB47" i="7"/>
  <c r="AA47" i="7" s="1"/>
  <c r="M94" i="4" s="1"/>
  <c r="AB48" i="7"/>
  <c r="AA48" i="7" s="1"/>
  <c r="M95" i="4" s="1"/>
  <c r="AB49" i="7"/>
  <c r="AA49" i="7" s="1"/>
  <c r="M96" i="4" s="1"/>
  <c r="AB50" i="7"/>
  <c r="AA50" i="7" s="1"/>
  <c r="M97" i="4" s="1"/>
  <c r="AB51" i="7"/>
  <c r="AA51" i="7" s="1"/>
  <c r="M98" i="4" s="1"/>
  <c r="AB52" i="7"/>
  <c r="AA52" i="7" s="1"/>
  <c r="X52" i="7"/>
  <c r="AB17" i="7"/>
  <c r="AB16" i="7"/>
  <c r="AA16" i="7" s="1"/>
  <c r="L98" i="4" s="1"/>
  <c r="AB15" i="7"/>
  <c r="AA15" i="7" s="1"/>
  <c r="L97" i="4" s="1"/>
  <c r="AB14" i="7"/>
  <c r="AA14" i="7" s="1"/>
  <c r="L96" i="4" s="1"/>
  <c r="AB13" i="7"/>
  <c r="AA13" i="7" s="1"/>
  <c r="L95" i="4" s="1"/>
  <c r="AB12" i="7"/>
  <c r="AA12" i="7" s="1"/>
  <c r="L94" i="4" s="1"/>
  <c r="AB11" i="7"/>
  <c r="AA11" i="7" s="1"/>
  <c r="L93" i="4" s="1"/>
  <c r="AB10" i="7"/>
  <c r="AA17" i="7"/>
  <c r="O82" i="4"/>
  <c r="O81" i="4"/>
  <c r="O80" i="4"/>
  <c r="O79" i="4"/>
  <c r="O78" i="4"/>
  <c r="O77" i="4"/>
  <c r="X17" i="7"/>
  <c r="W17" i="7" s="1"/>
  <c r="E94" i="7"/>
  <c r="AA10" i="7" l="1"/>
  <c r="L92" i="4" s="1"/>
  <c r="C43" i="4"/>
  <c r="C42" i="4"/>
  <c r="C41" i="4"/>
  <c r="C40" i="4"/>
  <c r="C39" i="4"/>
  <c r="C38" i="4"/>
  <c r="C37" i="4"/>
  <c r="C36" i="4"/>
  <c r="C35" i="4"/>
  <c r="C34" i="4"/>
  <c r="C33" i="4"/>
  <c r="O29" i="9"/>
  <c r="K186" i="1" l="1"/>
  <c r="J186" i="1"/>
  <c r="K200" i="1" l="1"/>
  <c r="K196" i="1"/>
  <c r="K192" i="1"/>
  <c r="K199" i="1"/>
  <c r="K195" i="1"/>
  <c r="K191" i="1"/>
  <c r="K202" i="1"/>
  <c r="K198" i="1"/>
  <c r="K194" i="1"/>
  <c r="K201" i="1"/>
  <c r="K197" i="1"/>
  <c r="K193" i="1"/>
  <c r="J202" i="1"/>
  <c r="J200" i="1"/>
  <c r="J198" i="1"/>
  <c r="J196" i="1"/>
  <c r="J194" i="1"/>
  <c r="J192" i="1"/>
  <c r="J201" i="1"/>
  <c r="J199" i="1"/>
  <c r="J197" i="1"/>
  <c r="J195" i="1"/>
  <c r="J193" i="1"/>
  <c r="J191" i="1"/>
  <c r="I199" i="1"/>
  <c r="I195" i="1"/>
  <c r="I191" i="1"/>
  <c r="I202" i="1"/>
  <c r="I198" i="1"/>
  <c r="I194" i="1"/>
  <c r="I201" i="1"/>
  <c r="I197" i="1"/>
  <c r="I193" i="1"/>
  <c r="I200" i="1"/>
  <c r="I196" i="1"/>
  <c r="I192" i="1"/>
  <c r="D84" i="5"/>
  <c r="E84" i="5" s="1"/>
  <c r="D83" i="5"/>
  <c r="E83" i="5" s="1"/>
  <c r="D82" i="5"/>
  <c r="E82" i="5" l="1"/>
  <c r="F5" i="6"/>
  <c r="F4" i="6"/>
  <c r="F3" i="6"/>
  <c r="F2" i="6"/>
  <c r="H177" i="3" l="1"/>
  <c r="H176" i="3"/>
  <c r="H175" i="3"/>
  <c r="H174" i="3"/>
  <c r="H173" i="3"/>
  <c r="H172" i="3"/>
  <c r="H171" i="3"/>
  <c r="H170" i="3"/>
  <c r="H169" i="3"/>
  <c r="E175" i="3"/>
  <c r="E172" i="3"/>
  <c r="E169" i="3"/>
  <c r="O34" i="9"/>
  <c r="O33" i="9"/>
  <c r="O31" i="9"/>
  <c r="O30" i="9"/>
  <c r="O32" i="9" l="1"/>
  <c r="K133" i="3"/>
  <c r="K136" i="3"/>
  <c r="P32" i="9" s="1"/>
  <c r="Q32" i="9" s="1"/>
  <c r="K134" i="3"/>
  <c r="P30" i="9" s="1"/>
  <c r="Q30" i="9" s="1"/>
  <c r="K137" i="3"/>
  <c r="P33" i="9" s="1"/>
  <c r="Q33" i="9" s="1"/>
  <c r="I169" i="3"/>
  <c r="J169" i="3" s="1"/>
  <c r="K138" i="3"/>
  <c r="P34" i="9" s="1"/>
  <c r="Q34" i="9" s="1"/>
  <c r="K135" i="3"/>
  <c r="P31" i="9" s="1"/>
  <c r="Q31" i="9" s="1"/>
  <c r="F169" i="3"/>
  <c r="E202" i="1"/>
  <c r="E201" i="1"/>
  <c r="E200" i="1"/>
  <c r="E199" i="1"/>
  <c r="E198" i="1"/>
  <c r="E197" i="1"/>
  <c r="E196" i="1"/>
  <c r="E195" i="1"/>
  <c r="E194" i="1"/>
  <c r="E193" i="1"/>
  <c r="E192" i="1"/>
  <c r="E191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P29" i="9" l="1"/>
  <c r="Q29" i="9" s="1"/>
  <c r="G169" i="3"/>
  <c r="D81" i="1" l="1"/>
  <c r="C58" i="1" l="1"/>
  <c r="D58" i="1" l="1"/>
  <c r="D59" i="1"/>
  <c r="D60" i="1"/>
  <c r="E58" i="1" l="1"/>
  <c r="F60" i="5"/>
  <c r="F59" i="5"/>
  <c r="F58" i="5" l="1"/>
  <c r="C191" i="1"/>
  <c r="L107" i="7" l="1"/>
  <c r="L106" i="7"/>
  <c r="L105" i="7"/>
  <c r="L104" i="7"/>
  <c r="L103" i="7"/>
  <c r="L102" i="7"/>
  <c r="L101" i="7"/>
  <c r="L100" i="7"/>
  <c r="L99" i="7"/>
  <c r="L98" i="7"/>
  <c r="L97" i="7"/>
  <c r="L96" i="7"/>
  <c r="K107" i="7"/>
  <c r="K106" i="7"/>
  <c r="K105" i="7"/>
  <c r="K104" i="7"/>
  <c r="K103" i="7"/>
  <c r="K102" i="7"/>
  <c r="K101" i="7"/>
  <c r="K100" i="7"/>
  <c r="K99" i="7"/>
  <c r="K98" i="7"/>
  <c r="K97" i="7"/>
  <c r="K96" i="7"/>
  <c r="L94" i="7"/>
  <c r="K94" i="7"/>
  <c r="J94" i="7"/>
  <c r="J107" i="7"/>
  <c r="J106" i="7"/>
  <c r="J105" i="7"/>
  <c r="J104" i="7"/>
  <c r="J103" i="7"/>
  <c r="J102" i="7"/>
  <c r="J101" i="7"/>
  <c r="J100" i="7"/>
  <c r="J99" i="7"/>
  <c r="J98" i="7"/>
  <c r="J97" i="7"/>
  <c r="J96" i="7"/>
  <c r="H107" i="7"/>
  <c r="H106" i="7"/>
  <c r="H105" i="7"/>
  <c r="H104" i="7"/>
  <c r="H103" i="7"/>
  <c r="H102" i="7"/>
  <c r="H101" i="7"/>
  <c r="H100" i="7"/>
  <c r="H99" i="7"/>
  <c r="H98" i="7"/>
  <c r="H97" i="7"/>
  <c r="H96" i="7"/>
  <c r="D94" i="7"/>
  <c r="C94" i="7"/>
  <c r="A107" i="7"/>
  <c r="A106" i="7"/>
  <c r="A105" i="7"/>
  <c r="A104" i="7"/>
  <c r="A103" i="7"/>
  <c r="A102" i="7"/>
  <c r="A101" i="7"/>
  <c r="A100" i="7"/>
  <c r="A99" i="7"/>
  <c r="A98" i="7"/>
  <c r="A97" i="7"/>
  <c r="A96" i="7"/>
  <c r="L76" i="4" l="1"/>
  <c r="G29" i="9" s="1"/>
  <c r="L82" i="4"/>
  <c r="G35" i="9" s="1"/>
  <c r="L78" i="4"/>
  <c r="G31" i="9" s="1"/>
  <c r="L81" i="4"/>
  <c r="G34" i="9" s="1"/>
  <c r="L77" i="4"/>
  <c r="G30" i="9" s="1"/>
  <c r="L80" i="4"/>
  <c r="G33" i="9" s="1"/>
  <c r="L79" i="4"/>
  <c r="G32" i="9" s="1"/>
  <c r="E107" i="7"/>
  <c r="E106" i="7"/>
  <c r="E105" i="7"/>
  <c r="E104" i="7"/>
  <c r="E103" i="7"/>
  <c r="E102" i="7"/>
  <c r="E101" i="7"/>
  <c r="E100" i="7"/>
  <c r="E99" i="7"/>
  <c r="E98" i="7"/>
  <c r="E97" i="7"/>
  <c r="E96" i="7"/>
  <c r="D96" i="7"/>
  <c r="D107" i="7"/>
  <c r="D106" i="7"/>
  <c r="D105" i="7"/>
  <c r="D104" i="7"/>
  <c r="D103" i="7"/>
  <c r="D102" i="7"/>
  <c r="D101" i="7"/>
  <c r="D100" i="7"/>
  <c r="D99" i="7"/>
  <c r="D98" i="7"/>
  <c r="D97" i="7"/>
  <c r="C97" i="7"/>
  <c r="C96" i="7"/>
  <c r="C107" i="7"/>
  <c r="C106" i="7"/>
  <c r="C105" i="7"/>
  <c r="C104" i="7"/>
  <c r="J82" i="4" s="1"/>
  <c r="K82" i="4" s="1"/>
  <c r="C103" i="7"/>
  <c r="C102" i="7"/>
  <c r="C101" i="7"/>
  <c r="C99" i="7"/>
  <c r="J81" i="4" l="1"/>
  <c r="K81" i="4" s="1"/>
  <c r="I124" i="4" s="1"/>
  <c r="I125" i="4"/>
  <c r="J79" i="4"/>
  <c r="K79" i="4" s="1"/>
  <c r="J80" i="4"/>
  <c r="K80" i="4" s="1"/>
  <c r="X48" i="7"/>
  <c r="W48" i="7" s="1"/>
  <c r="X13" i="7"/>
  <c r="W13" i="7" s="1"/>
  <c r="M79" i="4" s="1"/>
  <c r="X46" i="7"/>
  <c r="W46" i="7" s="1"/>
  <c r="X11" i="7"/>
  <c r="W11" i="7" s="1"/>
  <c r="M77" i="4" s="1"/>
  <c r="X50" i="7"/>
  <c r="W50" i="7" s="1"/>
  <c r="X15" i="7"/>
  <c r="W15" i="7" s="1"/>
  <c r="M81" i="4" s="1"/>
  <c r="X10" i="7"/>
  <c r="X45" i="7"/>
  <c r="X47" i="7"/>
  <c r="W47" i="7" s="1"/>
  <c r="X12" i="7"/>
  <c r="W12" i="7" s="1"/>
  <c r="M78" i="4" s="1"/>
  <c r="X49" i="7"/>
  <c r="W49" i="7" s="1"/>
  <c r="X14" i="7"/>
  <c r="W14" i="7" s="1"/>
  <c r="M80" i="4" s="1"/>
  <c r="X51" i="7"/>
  <c r="W51" i="7" s="1"/>
  <c r="X16" i="7"/>
  <c r="W16" i="7" s="1"/>
  <c r="M82" i="4" s="1"/>
  <c r="C100" i="7"/>
  <c r="J77" i="4" s="1"/>
  <c r="K77" i="4" s="1"/>
  <c r="I120" i="4" s="1"/>
  <c r="C98" i="7"/>
  <c r="J76" i="4" s="1"/>
  <c r="K76" i="4" s="1"/>
  <c r="W52" i="7"/>
  <c r="D88" i="1"/>
  <c r="D87" i="1"/>
  <c r="D86" i="1"/>
  <c r="D85" i="1"/>
  <c r="D84" i="1"/>
  <c r="D83" i="1"/>
  <c r="D82" i="1"/>
  <c r="W10" i="7" l="1"/>
  <c r="M76" i="4" s="1"/>
  <c r="E81" i="1"/>
  <c r="W45" i="7"/>
  <c r="N76" i="4" s="1"/>
  <c r="K125" i="4"/>
  <c r="L125" i="4" s="1"/>
  <c r="K120" i="4"/>
  <c r="L120" i="4" s="1"/>
  <c r="J78" i="4"/>
  <c r="A39" i="3"/>
  <c r="E43" i="3" s="1"/>
  <c r="K124" i="4"/>
  <c r="L124" i="4" s="1"/>
  <c r="I122" i="4"/>
  <c r="I123" i="4"/>
  <c r="I119" i="4"/>
  <c r="N80" i="4"/>
  <c r="N77" i="4"/>
  <c r="P77" i="4" s="1"/>
  <c r="N82" i="4"/>
  <c r="P82" i="4" s="1"/>
  <c r="N78" i="4"/>
  <c r="N81" i="4"/>
  <c r="P81" i="4" s="1"/>
  <c r="N79" i="4"/>
  <c r="E216" i="3"/>
  <c r="C202" i="1"/>
  <c r="C201" i="1"/>
  <c r="C200" i="1"/>
  <c r="C199" i="1"/>
  <c r="C198" i="1"/>
  <c r="C197" i="1"/>
  <c r="C196" i="1"/>
  <c r="C195" i="1"/>
  <c r="C194" i="1"/>
  <c r="C193" i="1"/>
  <c r="C192" i="1"/>
  <c r="P76" i="4" l="1"/>
  <c r="S76" i="4" s="1"/>
  <c r="K78" i="4"/>
  <c r="I121" i="4" s="1"/>
  <c r="E48" i="3"/>
  <c r="E47" i="3"/>
  <c r="E46" i="3"/>
  <c r="E44" i="3"/>
  <c r="E45" i="3"/>
  <c r="E125" i="4"/>
  <c r="E120" i="4"/>
  <c r="E124" i="4"/>
  <c r="S77" i="4"/>
  <c r="M77" i="7" s="1"/>
  <c r="K119" i="4"/>
  <c r="L119" i="4" s="1"/>
  <c r="K122" i="4"/>
  <c r="L122" i="4" s="1"/>
  <c r="S81" i="4"/>
  <c r="M81" i="7" s="1"/>
  <c r="S82" i="4"/>
  <c r="M82" i="7" s="1"/>
  <c r="K123" i="4"/>
  <c r="L123" i="4" s="1"/>
  <c r="P79" i="4"/>
  <c r="P80" i="4"/>
  <c r="F29" i="5"/>
  <c r="G29" i="5" s="1"/>
  <c r="F37" i="3" l="1"/>
  <c r="F43" i="3" s="1"/>
  <c r="F36" i="3"/>
  <c r="F38" i="3"/>
  <c r="P78" i="4"/>
  <c r="E121" i="4" s="1"/>
  <c r="K121" i="4"/>
  <c r="L121" i="4" s="1"/>
  <c r="E122" i="4"/>
  <c r="E119" i="4"/>
  <c r="G119" i="4" s="1"/>
  <c r="E123" i="4"/>
  <c r="M76" i="7"/>
  <c r="S80" i="4"/>
  <c r="M80" i="7" s="1"/>
  <c r="S79" i="4"/>
  <c r="M79" i="7" s="1"/>
  <c r="G27" i="5"/>
  <c r="F44" i="3" l="1"/>
  <c r="A29" i="4"/>
  <c r="G33" i="4" s="1"/>
  <c r="S78" i="4"/>
  <c r="M78" i="7" s="1"/>
  <c r="F45" i="3"/>
  <c r="F46" i="3"/>
  <c r="F48" i="3"/>
  <c r="G48" i="3" s="1"/>
  <c r="F47" i="3"/>
  <c r="G44" i="3" l="1"/>
  <c r="G43" i="3"/>
  <c r="G40" i="4"/>
  <c r="G36" i="4"/>
  <c r="G43" i="4"/>
  <c r="G39" i="4"/>
  <c r="G35" i="4"/>
  <c r="G42" i="4"/>
  <c r="G38" i="4"/>
  <c r="G34" i="4"/>
  <c r="G41" i="4"/>
  <c r="G37" i="4"/>
  <c r="H33" i="4" l="1"/>
  <c r="I35" i="4" s="1"/>
  <c r="M35" i="4" s="1"/>
  <c r="I33" i="4" l="1"/>
  <c r="I34" i="4"/>
  <c r="I42" i="4"/>
  <c r="I40" i="4"/>
  <c r="I39" i="4"/>
  <c r="I37" i="4"/>
  <c r="I43" i="4"/>
  <c r="I41" i="4"/>
  <c r="I38" i="4"/>
  <c r="I36" i="4"/>
  <c r="J33" i="4" l="1"/>
  <c r="E28" i="1"/>
  <c r="J79" i="3" l="1"/>
  <c r="J84" i="3"/>
  <c r="J83" i="3"/>
  <c r="J82" i="3"/>
  <c r="J81" i="3"/>
  <c r="J80" i="3"/>
  <c r="J48" i="3"/>
  <c r="J47" i="3"/>
  <c r="J46" i="3"/>
  <c r="J45" i="3"/>
  <c r="J44" i="3"/>
  <c r="J43" i="3"/>
  <c r="J38" i="3" l="1"/>
  <c r="K43" i="3" s="1"/>
  <c r="J36" i="3"/>
  <c r="J37" i="3"/>
  <c r="J75" i="3"/>
  <c r="J74" i="3"/>
  <c r="J73" i="3"/>
  <c r="L136" i="3"/>
  <c r="K146" i="3"/>
  <c r="L146" i="3" s="1"/>
  <c r="L135" i="3"/>
  <c r="L138" i="3"/>
  <c r="L137" i="3"/>
  <c r="L133" i="3"/>
  <c r="L134" i="3"/>
  <c r="M146" i="3" l="1"/>
  <c r="L43" i="3"/>
  <c r="K79" i="3"/>
  <c r="L79" i="3" s="1"/>
  <c r="G47" i="3"/>
  <c r="G45" i="3"/>
  <c r="G46" i="3"/>
  <c r="H43" i="3" l="1"/>
  <c r="F81" i="1"/>
  <c r="I43" i="3" l="1"/>
  <c r="K33" i="4"/>
  <c r="O96" i="4" l="1"/>
  <c r="R96" i="4" l="1"/>
  <c r="N80" i="7" s="1"/>
  <c r="I33" i="9"/>
  <c r="O95" i="4"/>
  <c r="I32" i="9" s="1"/>
  <c r="O98" i="4"/>
  <c r="O94" i="4"/>
  <c r="O93" i="4"/>
  <c r="O97" i="4"/>
  <c r="O92" i="4"/>
  <c r="I29" i="9" l="1"/>
  <c r="L29" i="9" s="1"/>
  <c r="R97" i="4"/>
  <c r="N81" i="7" s="1"/>
  <c r="I34" i="9"/>
  <c r="R98" i="4"/>
  <c r="N82" i="7" s="1"/>
  <c r="I35" i="9"/>
  <c r="R93" i="4"/>
  <c r="N77" i="7" s="1"/>
  <c r="I30" i="9"/>
  <c r="R94" i="4"/>
  <c r="N78" i="7" s="1"/>
  <c r="I31" i="9"/>
  <c r="R95" i="4"/>
  <c r="N79" i="7" s="1"/>
  <c r="R92" i="4"/>
  <c r="N76" i="7" s="1"/>
  <c r="G123" i="4" l="1"/>
  <c r="H123" i="4" s="1"/>
  <c r="L33" i="9"/>
  <c r="G121" i="4" l="1"/>
  <c r="H121" i="4" s="1"/>
  <c r="G120" i="4"/>
  <c r="G124" i="4"/>
  <c r="H124" i="4" s="1"/>
  <c r="L35" i="9"/>
  <c r="L31" i="9"/>
  <c r="L34" i="9"/>
  <c r="L30" i="9"/>
  <c r="L32" i="9" l="1"/>
  <c r="H120" i="4"/>
  <c r="G125" i="4"/>
  <c r="H125" i="4" s="1"/>
  <c r="G122" i="4"/>
  <c r="H122" i="4" s="1"/>
  <c r="H119" i="4" l="1"/>
</calcChain>
</file>

<file path=xl/sharedStrings.xml><?xml version="1.0" encoding="utf-8"?>
<sst xmlns="http://schemas.openxmlformats.org/spreadsheetml/2006/main" count="1704" uniqueCount="724">
  <si>
    <t>Res.</t>
  </si>
  <si>
    <t>kV</t>
  </si>
  <si>
    <t>Dosis</t>
  </si>
  <si>
    <t>dosis</t>
  </si>
  <si>
    <t>%</t>
  </si>
  <si>
    <t>Måling</t>
  </si>
  <si>
    <t>X</t>
  </si>
  <si>
    <t>Afv.</t>
  </si>
  <si>
    <t>50 mAs</t>
  </si>
  <si>
    <t>100mAs</t>
  </si>
  <si>
    <t>output</t>
  </si>
  <si>
    <t>HVL</t>
  </si>
  <si>
    <t>mmAl</t>
  </si>
  <si>
    <t>aflæst</t>
  </si>
  <si>
    <t>samlet</t>
  </si>
  <si>
    <t>målt</t>
  </si>
  <si>
    <t>mm</t>
  </si>
  <si>
    <t>raster</t>
  </si>
  <si>
    <t>faktor</t>
  </si>
  <si>
    <t>R</t>
  </si>
  <si>
    <t>Anode/filter</t>
  </si>
  <si>
    <t>MPV</t>
  </si>
  <si>
    <t>SD</t>
  </si>
  <si>
    <t>α</t>
  </si>
  <si>
    <t>rel. Afv.</t>
  </si>
  <si>
    <t>PMMA</t>
  </si>
  <si>
    <t>filter</t>
  </si>
  <si>
    <t>ROI</t>
  </si>
  <si>
    <t>Al</t>
  </si>
  <si>
    <t>SDNR</t>
  </si>
  <si>
    <t>Tol.</t>
  </si>
  <si>
    <t>afv.</t>
  </si>
  <si>
    <t>Resultat</t>
  </si>
  <si>
    <t>ROI 1</t>
  </si>
  <si>
    <t>ROI 2</t>
  </si>
  <si>
    <t>ROI 3</t>
  </si>
  <si>
    <t>ROI 4</t>
  </si>
  <si>
    <t>ROI 5</t>
  </si>
  <si>
    <t>ROI 6</t>
  </si>
  <si>
    <t>ROI 7</t>
  </si>
  <si>
    <t>ROI 8</t>
  </si>
  <si>
    <t>ROI 9</t>
  </si>
  <si>
    <t>Lokal</t>
  </si>
  <si>
    <t>Global</t>
  </si>
  <si>
    <t>ROI 10</t>
  </si>
  <si>
    <t>Pos.</t>
  </si>
  <si>
    <t>1. Rk</t>
  </si>
  <si>
    <t>3. Rk</t>
  </si>
  <si>
    <t>2. Rk</t>
  </si>
  <si>
    <t>T</t>
  </si>
  <si>
    <t>SNR</t>
  </si>
  <si>
    <t>tykkelse</t>
  </si>
  <si>
    <t>Anode/</t>
  </si>
  <si>
    <t xml:space="preserve">T </t>
  </si>
  <si>
    <t>g</t>
  </si>
  <si>
    <t>c</t>
  </si>
  <si>
    <t>s</t>
  </si>
  <si>
    <t>AGD</t>
  </si>
  <si>
    <t>anbefalet</t>
  </si>
  <si>
    <t>Bryst</t>
  </si>
  <si>
    <t>ækvi.</t>
  </si>
  <si>
    <t>beregnet</t>
  </si>
  <si>
    <t>≤</t>
  </si>
  <si>
    <t>Position</t>
  </si>
  <si>
    <t>Hjørne</t>
  </si>
  <si>
    <t>Manuel teknik</t>
  </si>
  <si>
    <t>Ghost</t>
  </si>
  <si>
    <t>ESD</t>
  </si>
  <si>
    <t>Korrektionsfaktor mellem 0,9 og 1,1</t>
  </si>
  <si>
    <t xml:space="preserve">Målt </t>
  </si>
  <si>
    <t>Monitor</t>
  </si>
  <si>
    <t>Thorax nær</t>
  </si>
  <si>
    <t>Thorax fjern</t>
  </si>
  <si>
    <t>Højre kant</t>
  </si>
  <si>
    <t>Venstre kant</t>
  </si>
  <si>
    <t>afstand</t>
  </si>
  <si>
    <t>Metode:</t>
  </si>
  <si>
    <t>Dosimeter, 45 mm PMMA</t>
  </si>
  <si>
    <t>display</t>
  </si>
  <si>
    <t>TV</t>
  </si>
  <si>
    <t>TH</t>
  </si>
  <si>
    <t>position</t>
  </si>
  <si>
    <t>Ingen eksponering</t>
  </si>
  <si>
    <t>[mm]</t>
  </si>
  <si>
    <t xml:space="preserve">PMMA </t>
  </si>
  <si>
    <t>Ækv.</t>
  </si>
  <si>
    <t>HVL [mm Al]</t>
  </si>
  <si>
    <t>a</t>
  </si>
  <si>
    <t>b</t>
  </si>
  <si>
    <t>d</t>
  </si>
  <si>
    <t>g - faktor</t>
  </si>
  <si>
    <t>c - faktor</t>
  </si>
  <si>
    <t>Brysttyk.</t>
  </si>
  <si>
    <t>Spektrum</t>
  </si>
  <si>
    <t>s-faktor</t>
  </si>
  <si>
    <t>mm Al</t>
  </si>
  <si>
    <t>Korrek-</t>
  </si>
  <si>
    <t>tions</t>
  </si>
  <si>
    <t>Min</t>
  </si>
  <si>
    <t>Max</t>
  </si>
  <si>
    <t>Tolerance:</t>
  </si>
  <si>
    <t>Angivet</t>
  </si>
  <si>
    <t>N</t>
  </si>
  <si>
    <t>komp. F</t>
  </si>
  <si>
    <t>Vægt</t>
  </si>
  <si>
    <t>Varighed</t>
  </si>
  <si>
    <t>ja/nej</t>
  </si>
  <si>
    <t>ja</t>
  </si>
  <si>
    <t>Målt</t>
  </si>
  <si>
    <t>tid</t>
  </si>
  <si>
    <t>≥ 0</t>
  </si>
  <si>
    <t>0</t>
  </si>
  <si>
    <t>≥ - 15</t>
  </si>
  <si>
    <t>≥ - 30</t>
  </si>
  <si>
    <t>Tykkelse</t>
  </si>
  <si>
    <t>Output mGy/mAs</t>
  </si>
  <si>
    <t>Aflæst HVL</t>
  </si>
  <si>
    <t>interval</t>
  </si>
  <si>
    <t>min-max</t>
  </si>
  <si>
    <t xml:space="preserve"> 0,27 - 0,54</t>
  </si>
  <si>
    <t xml:space="preserve"> 0,28 - 0,55</t>
  </si>
  <si>
    <t xml:space="preserve"> 0,29 - 0,56</t>
  </si>
  <si>
    <t xml:space="preserve"> 0,30 - 0,57</t>
  </si>
  <si>
    <t xml:space="preserve"> 0,31 - 0,58</t>
  </si>
  <si>
    <t xml:space="preserve"> 0,32 - 0,59</t>
  </si>
  <si>
    <t xml:space="preserve"> 0,33 - 0,60</t>
  </si>
  <si>
    <t xml:space="preserve"> 0,34 - 0,61</t>
  </si>
  <si>
    <t xml:space="preserve"> 0,35 - 0,62</t>
  </si>
  <si>
    <t xml:space="preserve"> 0,36 - 0,63</t>
  </si>
  <si>
    <t xml:space="preserve"> 0,37 - 0,64</t>
  </si>
  <si>
    <t xml:space="preserve"> 0,38 - 0,65</t>
  </si>
  <si>
    <t>Modtagekontrol</t>
  </si>
  <si>
    <t>Afvigelse ≤ 10 %</t>
  </si>
  <si>
    <t>≤ 2,0 s</t>
  </si>
  <si>
    <t xml:space="preserve">Manuel teknik </t>
  </si>
  <si>
    <t xml:space="preserve"> 0,27 - 0,36</t>
  </si>
  <si>
    <t xml:space="preserve"> 0,28 - 0,37</t>
  </si>
  <si>
    <t xml:space="preserve"> 0,29 - 0,38</t>
  </si>
  <si>
    <t xml:space="preserve"> 0,30 - 0,39</t>
  </si>
  <si>
    <t xml:space="preserve"> 0,31 - 0,40</t>
  </si>
  <si>
    <t xml:space="preserve"> 0,32 - 0,41</t>
  </si>
  <si>
    <t xml:space="preserve"> 0,33 - 0,42</t>
  </si>
  <si>
    <t xml:space="preserve"> 0,34 - 0,43</t>
  </si>
  <si>
    <t xml:space="preserve"> 0,35 - 0,44</t>
  </si>
  <si>
    <t xml:space="preserve"> 0,36 - 0,45</t>
  </si>
  <si>
    <t xml:space="preserve"> 0,37 - 0,46</t>
  </si>
  <si>
    <t xml:space="preserve"> 0,38 - 0,47</t>
  </si>
  <si>
    <t xml:space="preserve"> 0,27 - 0,56</t>
  </si>
  <si>
    <t xml:space="preserve"> 0,28 - 0,57</t>
  </si>
  <si>
    <t xml:space="preserve"> 0,29 - 0,58</t>
  </si>
  <si>
    <t xml:space="preserve"> 0,30 - 0,59</t>
  </si>
  <si>
    <t xml:space="preserve"> 0,31 - 0,60</t>
  </si>
  <si>
    <t xml:space="preserve"> 0,32 - 0,61</t>
  </si>
  <si>
    <t xml:space="preserve"> 0,33 - 0,62</t>
  </si>
  <si>
    <t xml:space="preserve"> 0,34 - 0,63</t>
  </si>
  <si>
    <t xml:space="preserve"> 0,35 - 0,64</t>
  </si>
  <si>
    <t xml:space="preserve"> 0,36 - 0,65</t>
  </si>
  <si>
    <t xml:space="preserve"> 0,37 - 0,66</t>
  </si>
  <si>
    <t xml:space="preserve"> 0,38 - 0,67</t>
  </si>
  <si>
    <t>nej</t>
  </si>
  <si>
    <t>Eksponeringen skal afbrydes i henhold til producentens specifikationer til sikkerhedsafbryderen</t>
  </si>
  <si>
    <t>Statuskontrol</t>
  </si>
  <si>
    <t xml:space="preserve">Manuel teknik. </t>
  </si>
  <si>
    <t>Kontrol</t>
  </si>
  <si>
    <t>Øvrige kontroller</t>
  </si>
  <si>
    <t>g-faktorer for forskellige brysttykkelser og HVL-værdier</t>
  </si>
  <si>
    <t>Glandu-</t>
  </si>
  <si>
    <t>g-faktorer [mGy/mGy]</t>
  </si>
  <si>
    <t>larity</t>
  </si>
  <si>
    <t>c-faktorer for forskellige brysttykkelser og HVL-værdier</t>
  </si>
  <si>
    <t>c-faktorer [mGy/mGy]</t>
  </si>
  <si>
    <t>W-Rh</t>
  </si>
  <si>
    <t>Mo-Mo</t>
  </si>
  <si>
    <t>Mo-Rh</t>
  </si>
  <si>
    <t>Rh-Rh</t>
  </si>
  <si>
    <t>W-Ag</t>
  </si>
  <si>
    <t>Metoder og valg</t>
  </si>
  <si>
    <t>C</t>
  </si>
  <si>
    <t>W-Al</t>
  </si>
  <si>
    <t xml:space="preserve"> 0,27 - 0,43</t>
  </si>
  <si>
    <t xml:space="preserve"> 0,28 - 0,44</t>
  </si>
  <si>
    <t xml:space="preserve"> 0,29 - 0,45</t>
  </si>
  <si>
    <t xml:space="preserve"> 0,30 - 0,46</t>
  </si>
  <si>
    <t xml:space="preserve"> 0,31 - 0,47</t>
  </si>
  <si>
    <t xml:space="preserve"> 0,32 - 0,48</t>
  </si>
  <si>
    <t xml:space="preserve"> 0,33 - 0,49</t>
  </si>
  <si>
    <t xml:space="preserve"> 0,34 - 0,50</t>
  </si>
  <si>
    <t xml:space="preserve"> 0,35 - 0,51</t>
  </si>
  <si>
    <t xml:space="preserve"> 0,36 - 0,52</t>
  </si>
  <si>
    <t xml:space="preserve"> 0,37 - 0,53</t>
  </si>
  <si>
    <t xml:space="preserve"> 0,38 - 0,54</t>
  </si>
  <si>
    <t xml:space="preserve"> 0,27 - 0,46</t>
  </si>
  <si>
    <t xml:space="preserve"> 0,28 - 0,47</t>
  </si>
  <si>
    <t xml:space="preserve"> 0,29 - 0,48</t>
  </si>
  <si>
    <t xml:space="preserve"> 0,30 - 0,49</t>
  </si>
  <si>
    <t xml:space="preserve"> 0,31 - 0,50</t>
  </si>
  <si>
    <t xml:space="preserve"> 0,32 - 0,51</t>
  </si>
  <si>
    <t xml:space="preserve"> 0,33 - 0,52</t>
  </si>
  <si>
    <t xml:space="preserve"> 0,34 - 0,53</t>
  </si>
  <si>
    <t xml:space="preserve"> 0,35 - 0,54</t>
  </si>
  <si>
    <t xml:space="preserve"> 0,36 - 0,55</t>
  </si>
  <si>
    <t xml:space="preserve"> 0,37 - 0,56</t>
  </si>
  <si>
    <t xml:space="preserve"> 0,38 - 0,57</t>
  </si>
  <si>
    <t xml:space="preserve"> 0,27 - 0,49</t>
  </si>
  <si>
    <t xml:space="preserve"> 0,28 - 0,50</t>
  </si>
  <si>
    <t xml:space="preserve"> 0,29 - 0,51</t>
  </si>
  <si>
    <t xml:space="preserve"> 0,30 - 0,52</t>
  </si>
  <si>
    <t xml:space="preserve"> 0,31 - 0,53</t>
  </si>
  <si>
    <t xml:space="preserve"> 0,32 - 0,54</t>
  </si>
  <si>
    <t xml:space="preserve"> 0,33 - 0,55</t>
  </si>
  <si>
    <t xml:space="preserve"> 0,34 - 0,56</t>
  </si>
  <si>
    <t xml:space="preserve"> 0,35 - 0,57</t>
  </si>
  <si>
    <t xml:space="preserve"> 0,36 - 0,58</t>
  </si>
  <si>
    <t xml:space="preserve"> 0,37 - 0,59</t>
  </si>
  <si>
    <t xml:space="preserve"> 0,38 - 0,60</t>
  </si>
  <si>
    <t>HVL bør ligge inden for nedenstående intervaller [mm]</t>
  </si>
  <si>
    <t>4.2 A</t>
  </si>
  <si>
    <t>4.2 B</t>
  </si>
  <si>
    <t>Fit til 3. grads polynomium</t>
  </si>
  <si>
    <t>INDEKS - tabeller</t>
  </si>
  <si>
    <t>Datavalidering - lister</t>
  </si>
  <si>
    <t>Diverse</t>
  </si>
  <si>
    <t>Region</t>
  </si>
  <si>
    <t xml:space="preserve">Fabrikat  </t>
  </si>
  <si>
    <t xml:space="preserve">Leverandør  </t>
  </si>
  <si>
    <t xml:space="preserve">Installationsdato  </t>
  </si>
  <si>
    <t xml:space="preserve">Dato for sidste kontrol  </t>
  </si>
  <si>
    <t xml:space="preserve">Firma  </t>
  </si>
  <si>
    <t xml:space="preserve">Kontroltype  </t>
  </si>
  <si>
    <t xml:space="preserve">Dato for kontrol  </t>
  </si>
  <si>
    <t xml:space="preserve">Rapport afsendt  </t>
  </si>
  <si>
    <t xml:space="preserve">Kontrol udført af  </t>
  </si>
  <si>
    <t xml:space="preserve">Email  </t>
  </si>
  <si>
    <t xml:space="preserve">1. Måleudstyr  </t>
  </si>
  <si>
    <t xml:space="preserve">1. Dato for kalibrering  </t>
  </si>
  <si>
    <t xml:space="preserve">2. Måleudstyr  </t>
  </si>
  <si>
    <t xml:space="preserve">2. Dato for kalibrering  </t>
  </si>
  <si>
    <t xml:space="preserve">Måleskema version  </t>
  </si>
  <si>
    <t xml:space="preserve">Dato for seneste revision  </t>
  </si>
  <si>
    <t xml:space="preserve"> </t>
  </si>
  <si>
    <t>Farvekode</t>
  </si>
  <si>
    <t>GIF</t>
  </si>
  <si>
    <t>Kontakt</t>
  </si>
  <si>
    <t>Manuel og visuel kontrol</t>
  </si>
  <si>
    <t>Kontroller</t>
  </si>
  <si>
    <t>Visuel kontrol af ledninger, stik, aflastninger og isolering</t>
  </si>
  <si>
    <t>Mekanisk afprøvning af bevægelige dele</t>
  </si>
  <si>
    <t>Afprøvning af nødstop</t>
  </si>
  <si>
    <t>Visuel kontrol af konsoltaster, displays m.m.</t>
  </si>
  <si>
    <t>Kommentarer</t>
  </si>
  <si>
    <t>OK</t>
  </si>
  <si>
    <t>IKKE OK</t>
  </si>
  <si>
    <t>Kør kompressionspladen ned til let berøring med PMMA-pladen og aflæs kompressionstykkelsen.</t>
  </si>
  <si>
    <t>Visuel kontrol af blyafskærmning m.m.</t>
  </si>
  <si>
    <t>AGD Kontrol</t>
  </si>
  <si>
    <t xml:space="preserve">2.5 Eksponeringstid  </t>
  </si>
  <si>
    <t>4.2 Støjvurdering</t>
  </si>
  <si>
    <t xml:space="preserve">4.5 Detektorfejl + artefakter  </t>
  </si>
  <si>
    <t xml:space="preserve">4.6 Spøgelsesbilleder </t>
  </si>
  <si>
    <t>5.1 Korrektion for vævsdensiteten</t>
  </si>
  <si>
    <t>5.4 Sikkerhedsafbryder</t>
  </si>
  <si>
    <t xml:space="preserve">6.1 Skævhed i kompressionsplade </t>
  </si>
  <si>
    <t>5.2 A</t>
  </si>
  <si>
    <t>5.2 B</t>
  </si>
  <si>
    <t xml:space="preserve">c - faktor AGD Metode 5.2 A </t>
  </si>
  <si>
    <t>c - faktor AGD  Metode 5.2 B</t>
  </si>
  <si>
    <t>Målemetode 5.2 A eller 5.2 B</t>
  </si>
  <si>
    <r>
      <t xml:space="preserve">6.2 </t>
    </r>
    <r>
      <rPr>
        <b/>
        <sz val="14"/>
        <rFont val="Calibri"/>
        <family val="2"/>
        <scheme val="minor"/>
      </rPr>
      <t xml:space="preserve">Kompressionskraft </t>
    </r>
  </si>
  <si>
    <r>
      <t xml:space="preserve">6.3 Korrekt angivelse af </t>
    </r>
    <r>
      <rPr>
        <b/>
        <sz val="14"/>
        <rFont val="Calibri"/>
        <family val="2"/>
        <scheme val="minor"/>
      </rPr>
      <t>kompressionstykkelse</t>
    </r>
  </si>
  <si>
    <t>Data hentet fra 5.2</t>
  </si>
  <si>
    <t>7.1 Måling af SDNR</t>
  </si>
  <si>
    <t xml:space="preserve">g - faktor AGD Metode 5.2 A </t>
  </si>
  <si>
    <t>g - faktor AGD  Metode 5.2 B</t>
  </si>
  <si>
    <t>Manuel teknik.</t>
  </si>
  <si>
    <t>Se vejledning</t>
  </si>
  <si>
    <t>Placér 45 mm PMMA på detektoren, således at det kun dækker den ene halvdel af detektoren (venstre side)</t>
  </si>
  <si>
    <t>Placér nu de samme 45 mm PMMA, så de dækker hele detektorpladen</t>
  </si>
  <si>
    <t>Kompressionskraft ca. 100 N</t>
  </si>
  <si>
    <t>Ingen</t>
  </si>
  <si>
    <t>DRL</t>
  </si>
  <si>
    <t>Region:</t>
  </si>
  <si>
    <t>Kontroltype:</t>
  </si>
  <si>
    <t>Firma:</t>
  </si>
  <si>
    <t>Hospital/sygehus/center:</t>
  </si>
  <si>
    <t>Apparat/model:</t>
  </si>
  <si>
    <t>Dato for kontrol:</t>
  </si>
  <si>
    <t>Klinik/screening:</t>
  </si>
  <si>
    <t>Serie-nr.:</t>
  </si>
  <si>
    <t>Kontrol udført af:</t>
  </si>
  <si>
    <t>Rum-nr.:</t>
  </si>
  <si>
    <t>Tech-ID:</t>
  </si>
  <si>
    <t>Rapport afsendt:</t>
  </si>
  <si>
    <t>Hospital/sygehus/center</t>
  </si>
  <si>
    <t>Klinik/screening</t>
  </si>
  <si>
    <t xml:space="preserve">Rum-nr.  </t>
  </si>
  <si>
    <t xml:space="preserve">Apparat/model  </t>
  </si>
  <si>
    <t xml:space="preserve">Serie-nr. </t>
  </si>
  <si>
    <t xml:space="preserve">Tech-ID  </t>
  </si>
  <si>
    <t>Medusa-nr.</t>
  </si>
  <si>
    <t xml:space="preserve">Telefon-nr.  </t>
  </si>
  <si>
    <t xml:space="preserve">Software-version  </t>
  </si>
  <si>
    <t>Udfyld nedenstående felter - relevante data overføres automatisk til data-headeren i alle ark!</t>
  </si>
  <si>
    <t>Generelle oplysninger:</t>
  </si>
  <si>
    <t xml:space="preserve">4.1 Detektor-respons-funktion </t>
  </si>
  <si>
    <t xml:space="preserve">4.3.B AEC-reproducerbarhed </t>
  </si>
  <si>
    <t>4.3.A Signal difference to noise ratio (SDNR)</t>
  </si>
  <si>
    <t>Bemærkninger:</t>
  </si>
  <si>
    <t>Test mode:</t>
  </si>
  <si>
    <t>Udstyr:</t>
  </si>
  <si>
    <t>Anode/filter:</t>
  </si>
  <si>
    <t>[mGy]</t>
  </si>
  <si>
    <t>[%]</t>
  </si>
  <si>
    <t>Anode/filter-kombination</t>
  </si>
  <si>
    <t>100 mAs</t>
  </si>
  <si>
    <t>AEC-Automatik</t>
  </si>
  <si>
    <t>Kontrol af billedkvalitet:</t>
  </si>
  <si>
    <t>Artefakter:</t>
  </si>
  <si>
    <t>Tolerance: Der tillades ingen ikke-korrigérbare detektorfejl og ingen klinisk forstyrrende artefakter på billedet</t>
  </si>
  <si>
    <t>AEC-automatik</t>
  </si>
  <si>
    <t xml:space="preserve">AEC-automatik </t>
  </si>
  <si>
    <t>Eksponering afbrydes korrekt:</t>
  </si>
  <si>
    <t>Fejlmeddelelse:</t>
  </si>
  <si>
    <t>[mm Al]</t>
  </si>
  <si>
    <t>Absolut afvigelse mellem PMMA-tykkelse og aflæst kompressionstykkelse på apparat i mm</t>
  </si>
  <si>
    <t>Røntgengenerator og udstyr er i fuld funktionsdygtig stand:  OK/IKKE OK</t>
  </si>
  <si>
    <t>Send til SIS:</t>
  </si>
  <si>
    <t>Monitor, arbejdsstation</t>
  </si>
  <si>
    <t>Fra MPV-tendenslinie:</t>
  </si>
  <si>
    <t>Detektor-fejl:</t>
  </si>
  <si>
    <t>[mGy/mAs]</t>
  </si>
  <si>
    <t>HVL-</t>
  </si>
  <si>
    <t>faktor,</t>
  </si>
  <si>
    <t>[mAs]</t>
  </si>
  <si>
    <t>Hårdt elastisk objekt (evt. tennisbold, skumgummi eller lign.), evt. PMMA-plader, målebånd</t>
  </si>
  <si>
    <t>tykkelse,</t>
  </si>
  <si>
    <t>Inkl.</t>
  </si>
  <si>
    <t>Dato for seneste ændring af software</t>
  </si>
  <si>
    <t>Ver. 1.0</t>
  </si>
  <si>
    <r>
      <t>2.1 Højspænding (</t>
    </r>
    <r>
      <rPr>
        <b/>
        <i/>
        <sz val="14"/>
        <color theme="1"/>
        <rFont val="Calibri"/>
        <family val="2"/>
        <scheme val="minor"/>
      </rPr>
      <t>U</t>
    </r>
    <r>
      <rPr>
        <b/>
        <sz val="14"/>
        <color theme="1"/>
        <rFont val="Calibri"/>
        <family val="2"/>
        <scheme val="minor"/>
      </rPr>
      <t>)</t>
    </r>
  </si>
  <si>
    <t>sis@sis.dk</t>
  </si>
  <si>
    <t>2.4 Dosis Output - valgfri</t>
  </si>
  <si>
    <t xml:space="preserve">4.4 DR-Detektorhomogenitet </t>
  </si>
  <si>
    <t>5.3 Kontrol af apparatets AGD- og ESD-værdi</t>
  </si>
  <si>
    <r>
      <t>Absolut afvigelse Δ</t>
    </r>
    <r>
      <rPr>
        <i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</rPr>
      <t xml:space="preserve"> ≤ 1,0 kV</t>
    </r>
  </si>
  <si>
    <t>[kV]</t>
  </si>
  <si>
    <r>
      <rPr>
        <i/>
        <sz val="11"/>
        <color theme="1"/>
        <rFont val="Calibri"/>
        <family val="2"/>
        <scheme val="minor"/>
      </rPr>
      <t>U</t>
    </r>
    <r>
      <rPr>
        <vertAlign val="subscript"/>
        <sz val="11"/>
        <color theme="1"/>
        <rFont val="Calibri"/>
        <family val="2"/>
        <scheme val="minor"/>
      </rPr>
      <t>pult</t>
    </r>
  </si>
  <si>
    <r>
      <t>Δ</t>
    </r>
    <r>
      <rPr>
        <i/>
        <sz val="11"/>
        <color theme="1"/>
        <rFont val="Calibri"/>
        <family val="2"/>
      </rPr>
      <t>U</t>
    </r>
  </si>
  <si>
    <t>Q</t>
  </si>
  <si>
    <t>U</t>
  </si>
  <si>
    <t>Rel. afv.</t>
  </si>
  <si>
    <r>
      <t>U</t>
    </r>
    <r>
      <rPr>
        <vertAlign val="subscript"/>
        <sz val="11"/>
        <color theme="1"/>
        <rFont val="Calibri"/>
        <family val="2"/>
        <scheme val="minor"/>
      </rPr>
      <t>målt</t>
    </r>
  </si>
  <si>
    <t>middel</t>
  </si>
  <si>
    <t>Kompressionspladen køres ned til let berøring med dosimeteret.</t>
  </si>
  <si>
    <r>
      <t>2.6 Halvværdilag (</t>
    </r>
    <r>
      <rPr>
        <b/>
        <i/>
        <sz val="14"/>
        <color theme="1"/>
        <rFont val="Calibri"/>
        <family val="2"/>
        <scheme val="minor"/>
      </rPr>
      <t>HVL</t>
    </r>
    <r>
      <rPr>
        <b/>
        <sz val="14"/>
        <color theme="1"/>
        <rFont val="Calibri"/>
        <family val="2"/>
        <scheme val="minor"/>
      </rPr>
      <t>)</t>
    </r>
  </si>
  <si>
    <t>Ekskl.</t>
  </si>
  <si>
    <t>Generelle bemærkninger til: 2. Røntgengenerator og røntgenrør</t>
  </si>
  <si>
    <r>
      <t xml:space="preserve">Typisk rasterfaktor, </t>
    </r>
    <r>
      <rPr>
        <i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 xml:space="preserve"> ≤ 3</t>
    </r>
  </si>
  <si>
    <t>1. Anode/filter-kombination</t>
  </si>
  <si>
    <t>2. Anode/filter-kombination</t>
  </si>
  <si>
    <t>3. Anode/filter-kombination</t>
  </si>
  <si>
    <t xml:space="preserve">Anode/filter-kombination </t>
  </si>
  <si>
    <r>
      <rPr>
        <i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</t>
    </r>
  </si>
  <si>
    <t xml:space="preserve">Generelle bemærkninger til: 3. Lys-/røntgenfelt og røntgen-/detektorfelt </t>
  </si>
  <si>
    <t>4.1 Detektor-respons-funktion &amp; 4.2 Støjvurdering</t>
  </si>
  <si>
    <t xml:space="preserve">NB:  Billeddata optages som rådata. </t>
  </si>
  <si>
    <r>
      <t xml:space="preserve">MPV-hældning, </t>
    </r>
    <r>
      <rPr>
        <i/>
        <sz val="11"/>
        <color theme="1"/>
        <rFont val="Calibri"/>
        <family val="2"/>
        <scheme val="minor"/>
      </rPr>
      <t>A</t>
    </r>
  </si>
  <si>
    <r>
      <t xml:space="preserve">MPV-skæring, </t>
    </r>
    <r>
      <rPr>
        <i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</si>
  <si>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Fra </t>
    </r>
    <r>
      <rPr>
        <i/>
        <sz val="11"/>
        <color theme="1"/>
        <rFont val="Calibri"/>
        <family val="2"/>
        <scheme val="minor"/>
      </rPr>
      <t>SD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-tendenslinie:</t>
    </r>
  </si>
  <si>
    <r>
      <rPr>
        <i/>
        <sz val="11"/>
        <color theme="1"/>
        <rFont val="Calibri"/>
        <family val="2"/>
        <scheme val="minor"/>
      </rPr>
      <t>SD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-skæring, </t>
    </r>
    <r>
      <rPr>
        <i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</t>
    </r>
  </si>
  <si>
    <r>
      <rPr>
        <i/>
        <sz val="11"/>
        <color theme="1"/>
        <rFont val="Calibri"/>
        <family val="2"/>
        <scheme val="minor"/>
      </rPr>
      <t>SD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-hældning, </t>
    </r>
    <r>
      <rPr>
        <i/>
        <sz val="11"/>
        <color theme="1"/>
        <rFont val="Calibri"/>
        <family val="2"/>
        <scheme val="minor"/>
      </rPr>
      <t>A</t>
    </r>
  </si>
  <si>
    <t>maks</t>
  </si>
  <si>
    <r>
      <rPr>
        <i/>
        <sz val="11"/>
        <color theme="1"/>
        <rFont val="Calibri"/>
        <family val="2"/>
      </rPr>
      <t>SD</t>
    </r>
    <r>
      <rPr>
        <vertAlign val="superscript"/>
        <sz val="11"/>
        <color theme="1"/>
        <rFont val="Calibri"/>
        <family val="2"/>
      </rPr>
      <t>2</t>
    </r>
  </si>
  <si>
    <r>
      <rPr>
        <i/>
        <sz val="11"/>
        <color theme="1"/>
        <rFont val="Calibri"/>
        <family val="2"/>
      </rPr>
      <t>R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 </t>
    </r>
  </si>
  <si>
    <r>
      <t xml:space="preserve">MPV-det.-koefficient </t>
    </r>
    <r>
      <rPr>
        <i/>
        <sz val="11"/>
        <color theme="1"/>
        <rFont val="Calibri"/>
        <family val="2"/>
        <scheme val="minor"/>
      </rPr>
      <t>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 </t>
    </r>
  </si>
  <si>
    <r>
      <rPr>
        <i/>
        <sz val="11"/>
        <color theme="1"/>
        <rFont val="Calibri"/>
        <family val="2"/>
        <scheme val="minor"/>
      </rPr>
      <t>SD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-det.-koefficient, </t>
    </r>
    <r>
      <rPr>
        <i/>
        <sz val="11"/>
        <color theme="1"/>
        <rFont val="Calibri"/>
        <family val="2"/>
        <scheme val="minor"/>
      </rPr>
      <t>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 </t>
    </r>
  </si>
  <si>
    <t>NB: Billeddata optages som rådata.</t>
  </si>
  <si>
    <r>
      <t>Δ</t>
    </r>
    <r>
      <rPr>
        <i/>
        <sz val="11"/>
        <color theme="1"/>
        <rFont val="Calibri"/>
        <family val="2"/>
      </rPr>
      <t xml:space="preserve">SDNR </t>
    </r>
    <r>
      <rPr>
        <sz val="11"/>
        <color theme="1"/>
        <rFont val="Calibri"/>
        <family val="2"/>
      </rPr>
      <t>relativt til 45 mm PMMA - se måleskema. AEC-reproducerbarhed: maks. afv. ≤ 5 % (bør være under 2 %)</t>
    </r>
  </si>
  <si>
    <r>
      <t>Δ</t>
    </r>
    <r>
      <rPr>
        <i/>
        <sz val="11"/>
        <color theme="1"/>
        <rFont val="Calibri"/>
        <family val="2"/>
      </rPr>
      <t>SDNR</t>
    </r>
  </si>
  <si>
    <t>Maks.</t>
  </si>
  <si>
    <t xml:space="preserve">4.4 DR-detektorhomogenitet &amp; 4.5 Detektorfejl + artefakter  </t>
  </si>
  <si>
    <t xml:space="preserve">NB: Billeddata optages som rådata. </t>
  </si>
  <si>
    <t>maks.</t>
  </si>
  <si>
    <r>
      <t xml:space="preserve">Ghost image factor, </t>
    </r>
    <r>
      <rPr>
        <i/>
        <sz val="11"/>
        <color theme="1"/>
        <rFont val="Calibri"/>
        <family val="2"/>
        <scheme val="minor"/>
      </rPr>
      <t>GIF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 0,3</t>
    </r>
  </si>
  <si>
    <t xml:space="preserve">Generelle bemærkninger til: 4. DR-detektor og billedkvalitet </t>
  </si>
  <si>
    <t>Se måleskema.</t>
  </si>
  <si>
    <r>
      <t>Δ</t>
    </r>
    <r>
      <rPr>
        <i/>
        <sz val="11"/>
        <color theme="1"/>
        <rFont val="Calibri"/>
        <family val="2"/>
        <scheme val="minor"/>
      </rPr>
      <t>T</t>
    </r>
  </si>
  <si>
    <t>ækv.</t>
  </si>
  <si>
    <t>Komp.-</t>
  </si>
  <si>
    <t>Generelle bemærkninger til: 5. Automatik (AEC)</t>
  </si>
  <si>
    <t>Maks afv.</t>
  </si>
  <si>
    <r>
      <t>Δ</t>
    </r>
    <r>
      <rPr>
        <i/>
        <sz val="11"/>
        <color theme="1"/>
        <rFont val="Calibri"/>
        <family val="2"/>
      </rPr>
      <t>L</t>
    </r>
  </si>
  <si>
    <r>
      <t xml:space="preserve">Skævhed i kompression </t>
    </r>
    <r>
      <rPr>
        <sz val="11"/>
        <color theme="1"/>
        <rFont val="Calibri"/>
        <family val="2"/>
      </rPr>
      <t>Δ</t>
    </r>
    <r>
      <rPr>
        <i/>
        <sz val="11"/>
        <color theme="1"/>
        <rFont val="Calibri"/>
        <family val="2"/>
      </rPr>
      <t>L</t>
    </r>
    <r>
      <rPr>
        <sz val="11"/>
        <color theme="1"/>
        <rFont val="Calibri"/>
        <family val="2"/>
      </rPr>
      <t xml:space="preserve"> = </t>
    </r>
    <r>
      <rPr>
        <i/>
        <sz val="11"/>
        <color theme="1"/>
        <rFont val="Calibri"/>
        <family val="2"/>
      </rPr>
      <t>L</t>
    </r>
    <r>
      <rPr>
        <vertAlign val="subscript"/>
        <sz val="11"/>
        <color theme="1"/>
        <rFont val="Calibri"/>
        <family val="2"/>
      </rPr>
      <t>maks</t>
    </r>
    <r>
      <rPr>
        <sz val="11"/>
        <color theme="1"/>
        <rFont val="Calibri"/>
        <family val="2"/>
      </rPr>
      <t xml:space="preserve"> - </t>
    </r>
    <r>
      <rPr>
        <i/>
        <sz val="11"/>
        <color theme="1"/>
        <rFont val="Calibri"/>
        <family val="2"/>
      </rPr>
      <t>L</t>
    </r>
    <r>
      <rPr>
        <vertAlign val="subscript"/>
        <sz val="11"/>
        <color theme="1"/>
        <rFont val="Calibri"/>
        <family val="2"/>
      </rPr>
      <t>min</t>
    </r>
  </si>
  <si>
    <t xml:space="preserve">Anbring vægten på stålpladen på DR-detektoren. Placér det elastiske objekt midt på vægten. </t>
  </si>
  <si>
    <t>[N]</t>
  </si>
  <si>
    <t>ΔF</t>
  </si>
  <si>
    <t>maks. F</t>
  </si>
  <si>
    <r>
      <rPr>
        <i/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PMMA</t>
    </r>
  </si>
  <si>
    <r>
      <t>Δ</t>
    </r>
    <r>
      <rPr>
        <i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 xml:space="preserve"> ≤ 3 mm </t>
    </r>
  </si>
  <si>
    <r>
      <rPr>
        <i/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B</t>
    </r>
  </si>
  <si>
    <t>PMMA-</t>
  </si>
  <si>
    <r>
      <t xml:space="preserve">Alle data vedr. AGD-værdier er automatisk hentet fra måleproceduren: 5.2. Middeldosis til kirtelvævet, </t>
    </r>
    <r>
      <rPr>
        <i/>
        <sz val="11"/>
        <color theme="1"/>
        <rFont val="Calibri"/>
        <family val="2"/>
        <scheme val="minor"/>
      </rPr>
      <t>AGD</t>
    </r>
  </si>
  <si>
    <t>Se vejledning for udførelsen af hver måleprocedure.</t>
  </si>
  <si>
    <t>Metode (vælg 5.2 A eller 5.2 B - se faneblad 5)</t>
  </si>
  <si>
    <t>Generelle bemærkninger til: 6. Mekaniske kontroller og eftersyn</t>
  </si>
  <si>
    <r>
      <rPr>
        <i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[mm]</t>
    </r>
  </si>
  <si>
    <t>Anode/filter kombination</t>
  </si>
  <si>
    <t>U [kV]</t>
  </si>
  <si>
    <t xml:space="preserve">Placér dosimeteret direkte oven på beskyttelsespladen på DR-detektoren, ca. 3 - 6 cm fra thoraxkanten. </t>
  </si>
  <si>
    <t>2.1 Testparametre</t>
  </si>
  <si>
    <t>2.1 Målinger</t>
  </si>
  <si>
    <r>
      <rPr>
        <i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 xml:space="preserve"> [mAs]</t>
    </r>
  </si>
  <si>
    <t>2.2 Testparametre</t>
  </si>
  <si>
    <t>2.2 Målinger</t>
  </si>
  <si>
    <r>
      <rPr>
        <i/>
        <sz val="11"/>
        <color theme="1"/>
        <rFont val="Calibri"/>
        <family val="2"/>
        <scheme val="minor"/>
      </rPr>
      <t xml:space="preserve">U </t>
    </r>
    <r>
      <rPr>
        <sz val="11"/>
        <color theme="1"/>
        <rFont val="Calibri"/>
        <family val="2"/>
        <scheme val="minor"/>
      </rPr>
      <t>[kV]</t>
    </r>
  </si>
  <si>
    <r>
      <rPr>
        <i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[kV]</t>
    </r>
  </si>
  <si>
    <t>2.3 Testparametre</t>
  </si>
  <si>
    <t>FDD Fokus-detektor-afstand [mm]</t>
  </si>
  <si>
    <t>2.3 Målinger</t>
  </si>
  <si>
    <t xml:space="preserve">Kompressionspladen køres ned til let berøring med dosimeteret. </t>
  </si>
  <si>
    <t>2.4 Testparametre</t>
  </si>
  <si>
    <t>2.4 Målinger</t>
  </si>
  <si>
    <t>Bemærkninger</t>
  </si>
  <si>
    <t>Placér multimeteret så det ikke påvirker AEC-automatikken.</t>
  </si>
  <si>
    <t>2.5 Testparametre</t>
  </si>
  <si>
    <t>2.5 Målinger</t>
  </si>
  <si>
    <t>2.6 Testparametre</t>
  </si>
  <si>
    <t xml:space="preserve">Ved måling: Placér 45 mm PMMA på DR-detektoren. </t>
  </si>
  <si>
    <t>Komprimér til apparatet angiver en tykkelse på 45 mm ± 2 mm og AEC–funktionen aktiveres.</t>
  </si>
  <si>
    <t>2.7 Testparametre</t>
  </si>
  <si>
    <r>
      <t>U</t>
    </r>
    <r>
      <rPr>
        <sz val="11"/>
        <color theme="1"/>
        <rFont val="Calibri"/>
        <family val="2"/>
        <scheme val="minor"/>
      </rPr>
      <t xml:space="preserve"> [kV]</t>
    </r>
  </si>
  <si>
    <t>2.6 Målinger</t>
  </si>
  <si>
    <t>2.7 Målinger</t>
  </si>
  <si>
    <t>3.1 Testparametre</t>
  </si>
  <si>
    <t>3.1 Målinger</t>
  </si>
  <si>
    <t>3.2 Testparametre</t>
  </si>
  <si>
    <t xml:space="preserve">SID [mm] </t>
  </si>
  <si>
    <t>24 x 30</t>
  </si>
  <si>
    <t>Kompressionsplade</t>
  </si>
  <si>
    <t>3.2 Målinger</t>
  </si>
  <si>
    <t>3.3 Testparametre</t>
  </si>
  <si>
    <t>3.3 Målinger</t>
  </si>
  <si>
    <t xml:space="preserve">Eksponér med manuel teknik, og benyt samme kV og anode/filter kombination som automatikken </t>
  </si>
  <si>
    <t>ville vælge for kompressionstykkelsen 45 mm.</t>
  </si>
  <si>
    <t>Benyt samme kompressionskraft og - tykkelse ved alle eksponeringer.</t>
  </si>
  <si>
    <t>4.1 + 4.2 Testparametre</t>
  </si>
  <si>
    <t>FDD [mm]</t>
  </si>
  <si>
    <t>Kompressionstykkelse [mm]</t>
  </si>
  <si>
    <t>4.1 + 4.2 Målinger</t>
  </si>
  <si>
    <r>
      <t xml:space="preserve">Dosis output X </t>
    </r>
    <r>
      <rPr>
        <sz val="11"/>
        <color theme="1"/>
        <rFont val="Calibri"/>
        <family val="2"/>
        <scheme val="minor"/>
      </rPr>
      <t>(fra 2.4) [mGy/mAs]</t>
    </r>
  </si>
  <si>
    <r>
      <t xml:space="preserve">FDD </t>
    </r>
    <r>
      <rPr>
        <sz val="11"/>
        <color theme="1"/>
        <rFont val="Calibri"/>
        <family val="2"/>
        <scheme val="minor"/>
      </rPr>
      <t>( fra 2.4)  [mm]</t>
    </r>
  </si>
  <si>
    <t xml:space="preserve">Placér aluminiumsfoliet på 0,2 mm centralt direkte oven på PMMA-blokken på 20 mm - ca. 6 cm </t>
  </si>
  <si>
    <t xml:space="preserve">fra thorax-kanten. </t>
  </si>
  <si>
    <t xml:space="preserve">Benyt spacere indtil den rette brystækvivalente tykkelse opnås under kompression med kompressionspladen. </t>
  </si>
  <si>
    <t>Eksponér med AEC-automatik.</t>
  </si>
  <si>
    <t>4.3 Testparametre</t>
  </si>
  <si>
    <t>4.3 Målinger</t>
  </si>
  <si>
    <r>
      <t xml:space="preserve">4.3 A. Måling af </t>
    </r>
    <r>
      <rPr>
        <b/>
        <i/>
        <sz val="11"/>
        <color theme="1"/>
        <rFont val="Calibri"/>
        <family val="2"/>
        <scheme val="minor"/>
      </rPr>
      <t>SDNR</t>
    </r>
  </si>
  <si>
    <t>4.3 B. Måling af AEC-reproducerbarhed</t>
  </si>
  <si>
    <t>4.4 Testparametre</t>
  </si>
  <si>
    <t>4.4 Måling af detektorhomogenitet</t>
  </si>
  <si>
    <t>4.6 Testparametre</t>
  </si>
  <si>
    <t>4.6 Målinger</t>
  </si>
  <si>
    <t>5.1 Testparametre</t>
  </si>
  <si>
    <t xml:space="preserve">Anbring 30 mm PMMA på DR-detektorpladen. Anvend spacere til at opnå en komprimeringstykkelse på 40 mm. </t>
  </si>
  <si>
    <t>Foretag en eksponering med AEC-automatik.</t>
  </si>
  <si>
    <t xml:space="preserve">Placér den første 2 mm PMMA-plade oven i kompressionspladen tæt på thoraxkanten og inden for DR-detektorens </t>
  </si>
  <si>
    <t>5.1 Målinger</t>
  </si>
  <si>
    <t>PMMA tykkelse uden 2 mm plader [mm]</t>
  </si>
  <si>
    <t>Kompressionstykkelse (inkl. spacere) [mm]</t>
  </si>
  <si>
    <t>Detektor off-set fra 4.1 + 4.2 Detektor-respons-funktion, metode A eller B</t>
  </si>
  <si>
    <t>Angiv målemetode 4.2 A eller 4.2 B</t>
  </si>
  <si>
    <t xml:space="preserve">PMMA-plader med samlet tykkelse på 20, 30, 40, 45, 50, 60 og 70 mm. </t>
  </si>
  <si>
    <t>5.2 Testparametre</t>
  </si>
  <si>
    <t>5.2 Målinger</t>
  </si>
  <si>
    <t xml:space="preserve">5.2 B. Metode ved brug af direkte målt indgangsdosis ESD (uden backscatter) med dosimeter: </t>
  </si>
  <si>
    <t>5.3 Testparametre</t>
  </si>
  <si>
    <t>PMMA-plader med samlet tykkelse på 20, 30, 40, 45, 50, 60 og 70 mm. Diverse spacere, så korrekt ækvivalent</t>
  </si>
  <si>
    <t>brysttykkelse opnås under kompression. Evt. dosimeter</t>
  </si>
  <si>
    <t>5.3 Målinger</t>
  </si>
  <si>
    <t>5.4 Målinger</t>
  </si>
  <si>
    <t>5.4 Testparametre</t>
  </si>
  <si>
    <t>Kompressionskraft ca. 100 N.</t>
  </si>
  <si>
    <t>6.1 Testparametre</t>
  </si>
  <si>
    <t>Region H</t>
  </si>
  <si>
    <t>HGH Gentofte</t>
  </si>
  <si>
    <t>Gentofte Screening</t>
  </si>
  <si>
    <t>MAM 1</t>
  </si>
  <si>
    <t>Kompressionskraft [N]</t>
  </si>
  <si>
    <t>6.2 Testparametre</t>
  </si>
  <si>
    <t>6.1 Målinger</t>
  </si>
  <si>
    <t>6.2 Målinger</t>
  </si>
  <si>
    <t>6.3 Målinger</t>
  </si>
  <si>
    <t>6.3 Testparametre</t>
  </si>
  <si>
    <t>6.4 Testparametre</t>
  </si>
  <si>
    <t>6.4 Målinger</t>
  </si>
  <si>
    <t xml:space="preserve">Vælg 'OK'/'IKKE OK' i resultatkolonne og angiv om røntgengenerator og </t>
  </si>
  <si>
    <t xml:space="preserve">udstyr er i fuld funktionsdygtig stand </t>
  </si>
  <si>
    <t>Alle data vedr. SDNR-værdier er automatisk hentet fra måleproceduren: 4.3. AEC-reproducerbarhed</t>
  </si>
  <si>
    <t>går evt. tabt, men alle målte og beregnede data overføres som tal og tekst.</t>
  </si>
  <si>
    <t xml:space="preserve">Kopier hele fanebladet til en ny excel-fil og indsæt uden formatering. Formatering, formler og diagrammer </t>
  </si>
  <si>
    <t>7.1 Målinger</t>
  </si>
  <si>
    <t>Siemens</t>
  </si>
  <si>
    <t>Revelation</t>
  </si>
  <si>
    <t>01.01.2022</t>
  </si>
  <si>
    <t>EA</t>
  </si>
  <si>
    <t>Erik Andersen / 22.06.2019 / 23.09.2019/01.03.2022</t>
  </si>
  <si>
    <t>Kontrol af sikkerhedsafbryder</t>
  </si>
  <si>
    <t>Objekt</t>
  </si>
  <si>
    <t>Centralt</t>
  </si>
  <si>
    <t>Thorax</t>
  </si>
  <si>
    <t>placering</t>
  </si>
  <si>
    <r>
      <t>Centralt, Δ</t>
    </r>
    <r>
      <rPr>
        <i/>
        <sz val="11"/>
        <color theme="1"/>
        <rFont val="Calibri"/>
        <family val="2"/>
      </rPr>
      <t>L</t>
    </r>
    <r>
      <rPr>
        <sz val="11"/>
        <color theme="1"/>
        <rFont val="Calibri"/>
        <family val="2"/>
      </rPr>
      <t xml:space="preserve"> ≤ 5 mm, Thoraxkant, Δ</t>
    </r>
    <r>
      <rPr>
        <i/>
        <sz val="11"/>
        <color theme="1"/>
        <rFont val="Calibri"/>
        <family val="2"/>
      </rPr>
      <t>L</t>
    </r>
    <r>
      <rPr>
        <sz val="11"/>
        <color theme="1"/>
        <rFont val="Calibri"/>
        <family val="2"/>
      </rPr>
      <t xml:space="preserve"> ≤ 15 mm</t>
    </r>
  </si>
  <si>
    <t>kant</t>
  </si>
  <si>
    <t xml:space="preserve">Fjern evt. kompressionspladen. </t>
  </si>
  <si>
    <t>Eksponér med samme mAs-produkt for mindst 5 forskellige spændingsindstillinger</t>
  </si>
  <si>
    <t xml:space="preserve">Eksponér med 50 mAs og 100 mAs for hver valgt kV </t>
  </si>
  <si>
    <t>Placér et ROI  centralt i billedet ca. 3 - 6 cm fra den thoraxkanten</t>
  </si>
  <si>
    <t>Notér middelpixelværdien, MPV, og standard afvigelsen, SD, for hvert ROI.</t>
  </si>
  <si>
    <t>Fremgangsmåde som beskrevet ovenfor.</t>
  </si>
  <si>
    <t xml:space="preserve">Indgangsdosis, ESD, til 45 mm PMMA måles direkte med dosimeter ved hver eksponering. </t>
  </si>
  <si>
    <t>Placeringen af dosimetret må ikke påvirke bestemmelsen af MPV-værdierne i de valgte ROI.</t>
  </si>
  <si>
    <t xml:space="preserve">PMMA-plader, så der kan sammensættes til tykkelser på 20, 30, 40, 45, 50, 60 og 70 mm, div. spacere, </t>
  </si>
  <si>
    <t>≤ 5 %</t>
  </si>
  <si>
    <t>≤ 10 %</t>
  </si>
  <si>
    <t>Eksponér med samme spænding, anode/filter-kombination og ca. mAs-produkt-værdi, som</t>
  </si>
  <si>
    <t>AEC-automatikken valgte under kontrollen 4.3.B AEC-reproducerbarhed.</t>
  </si>
  <si>
    <t>30 mm PMMA, 5 - 10 små PMMA-plader à ca. 40 mm x 40 mm  i tykkelse 2 mm, 10 mm spacere</t>
  </si>
  <si>
    <t>og signal difference to noise ratio (SDNR)</t>
  </si>
  <si>
    <t>B: Til måling af AEC-reproducerbarhed udføres 45 mm-eksponeringen 3 gange .</t>
  </si>
  <si>
    <t xml:space="preserve">A: Anbring 20 mm PMMA direkte ovenpå DR-detektoren. </t>
  </si>
  <si>
    <t>45 mm PMMA. Aluminiumsfolie: tykkelse ca. 0,1 mm, areal ca. 100 mm x 100 mm.</t>
  </si>
  <si>
    <r>
      <t xml:space="preserve">U </t>
    </r>
    <r>
      <rPr>
        <sz val="11"/>
        <color theme="1"/>
        <rFont val="Calibri"/>
        <family val="2"/>
        <scheme val="minor"/>
      </rPr>
      <t>[kV]</t>
    </r>
  </si>
  <si>
    <r>
      <t xml:space="preserve">Q </t>
    </r>
    <r>
      <rPr>
        <sz val="11"/>
        <color theme="1"/>
        <rFont val="Calibri"/>
        <family val="2"/>
        <scheme val="minor"/>
      </rPr>
      <t>[mAs]</t>
    </r>
  </si>
  <si>
    <t>R, rasterfaktor fra datablad</t>
  </si>
  <si>
    <r>
      <t xml:space="preserve">FDD </t>
    </r>
    <r>
      <rPr>
        <sz val="11"/>
        <color theme="1"/>
        <rFont val="Calibri"/>
        <family val="2"/>
        <scheme val="minor"/>
      </rPr>
      <t>[mm]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 fra 2.4 ) </t>
    </r>
  </si>
  <si>
    <t>6.4 Eftersyn</t>
  </si>
  <si>
    <t>kV-meter, beskyttelsesplade til DR-detektor.</t>
  </si>
  <si>
    <t>Dosimeter, beskyttelsesplade til DR-detektor.</t>
  </si>
  <si>
    <t>2.2 Dosis-reproducérbarhed – valgfri</t>
  </si>
  <si>
    <r>
      <rPr>
        <i/>
        <sz val="11"/>
        <rFont val="Calibri"/>
        <family val="2"/>
        <scheme val="minor"/>
      </rPr>
      <t>FDD,</t>
    </r>
    <r>
      <rPr>
        <sz val="11"/>
        <rFont val="Calibri"/>
        <family val="2"/>
        <scheme val="minor"/>
      </rPr>
      <t xml:space="preserve"> Fokus-detektor-afstand [mm]</t>
    </r>
  </si>
  <si>
    <t xml:space="preserve">kV-meter til måling af eksponeringstid, 45 mm PMMA, inkl. kompressionsplade </t>
  </si>
  <si>
    <r>
      <rPr>
        <i/>
        <sz val="11"/>
        <rFont val="Calibri"/>
        <family val="2"/>
      </rPr>
      <t>R</t>
    </r>
    <r>
      <rPr>
        <sz val="11"/>
        <rFont val="Calibri"/>
        <family val="2"/>
      </rPr>
      <t xml:space="preserve"> ≤ 3</t>
    </r>
  </si>
  <si>
    <t xml:space="preserve">3.1 Geometrisk korrektionsfaktor </t>
  </si>
  <si>
    <t xml:space="preserve"> 4.5 Detektorfejl + artefakter  </t>
  </si>
  <si>
    <r>
      <t>5.2. Middeldosis til kirtelvævet (</t>
    </r>
    <r>
      <rPr>
        <b/>
        <i/>
        <sz val="14"/>
        <color theme="1"/>
        <rFont val="Calibri"/>
        <family val="2"/>
        <scheme val="minor"/>
      </rPr>
      <t>AGD</t>
    </r>
    <r>
      <rPr>
        <b/>
        <sz val="14"/>
        <color theme="1"/>
        <rFont val="Calibri"/>
        <family val="2"/>
        <scheme val="minor"/>
      </rPr>
      <t>)</t>
    </r>
  </si>
  <si>
    <t>[s]</t>
  </si>
  <si>
    <t>Mean</t>
  </si>
  <si>
    <t xml:space="preserve">2.6.A: Halvværdilag HVL </t>
  </si>
  <si>
    <t>fra 2.4 Dosis Output</t>
  </si>
  <si>
    <t xml:space="preserve">2.6.B: Bestemmelse af HVL </t>
  </si>
  <si>
    <t>Aflæste HVL-data fra måling</t>
  </si>
  <si>
    <t xml:space="preserve">af HVL med kV-meter </t>
  </si>
  <si>
    <t>HVL værdier bestemt ved måling</t>
  </si>
  <si>
    <t>med dosimeter og Al folier ( se f.eks</t>
  </si>
  <si>
    <t>Raster</t>
  </si>
  <si>
    <r>
      <t xml:space="preserve">NB: Alle 6 målefelter skal udfyldes for at udregningen af </t>
    </r>
    <r>
      <rPr>
        <b/>
        <i/>
        <sz val="11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 xml:space="preserve">, </t>
    </r>
    <r>
      <rPr>
        <b/>
        <i/>
        <sz val="11"/>
        <rFont val="Calibri"/>
        <family val="2"/>
        <scheme val="minor"/>
      </rPr>
      <t>B</t>
    </r>
    <r>
      <rPr>
        <b/>
        <sz val="11"/>
        <rFont val="Calibri"/>
        <family val="2"/>
        <scheme val="minor"/>
      </rPr>
      <t xml:space="preserve"> og </t>
    </r>
    <r>
      <rPr>
        <b/>
        <i/>
        <sz val="11"/>
        <rFont val="Calibri"/>
        <family val="2"/>
        <scheme val="minor"/>
      </rPr>
      <t>R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bliver korrekt</t>
    </r>
  </si>
  <si>
    <r>
      <t xml:space="preserve">NB: Alle 6 målefelter skal udfyldes for at Excel-udregningen af </t>
    </r>
    <r>
      <rPr>
        <b/>
        <i/>
        <sz val="11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 xml:space="preserve">, </t>
    </r>
    <r>
      <rPr>
        <b/>
        <i/>
        <sz val="11"/>
        <rFont val="Calibri"/>
        <family val="2"/>
        <scheme val="minor"/>
      </rPr>
      <t xml:space="preserve">B </t>
    </r>
    <r>
      <rPr>
        <b/>
        <sz val="11"/>
        <rFont val="Calibri"/>
        <family val="2"/>
        <scheme val="minor"/>
      </rPr>
      <t xml:space="preserve">og </t>
    </r>
    <r>
      <rPr>
        <b/>
        <i/>
        <sz val="11"/>
        <rFont val="Calibri"/>
        <family val="2"/>
        <scheme val="minor"/>
      </rPr>
      <t>R</t>
    </r>
    <r>
      <rPr>
        <b/>
        <i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bliver korrekt.</t>
    </r>
  </si>
  <si>
    <t>Tolerancer for HVL</t>
  </si>
  <si>
    <t>Afv. fra</t>
  </si>
  <si>
    <t>datablad</t>
  </si>
  <si>
    <t>Frekvens:</t>
  </si>
  <si>
    <t>Modtagekontrol + årlig statuskontrol</t>
  </si>
  <si>
    <t>Røntgentæt materiale, f.eks. kobberplade med kendt kantlængde ca. 10 cm.</t>
  </si>
  <si>
    <t>kantlængde</t>
  </si>
  <si>
    <r>
      <t xml:space="preserve">Kantlængde af objekt, </t>
    </r>
    <r>
      <rPr>
        <i/>
        <sz val="11"/>
        <color theme="1"/>
        <rFont val="Calibri"/>
        <family val="2"/>
        <scheme val="minor"/>
      </rPr>
      <t xml:space="preserve">d </t>
    </r>
    <r>
      <rPr>
        <sz val="11"/>
        <color theme="1"/>
        <rFont val="Calibri"/>
        <family val="2"/>
        <scheme val="minor"/>
      </rPr>
      <t>[mm]</t>
    </r>
  </si>
  <si>
    <t>Røntgentæt lineal</t>
  </si>
  <si>
    <t>Lysfelt / røntgenfelt</t>
  </si>
  <si>
    <t>Detektor</t>
  </si>
  <si>
    <t>Lys</t>
  </si>
  <si>
    <t>Røntgen</t>
  </si>
  <si>
    <t>Abs.</t>
  </si>
  <si>
    <t>[cm]</t>
  </si>
  <si>
    <t>ift. SID</t>
  </si>
  <si>
    <t>≤ 1%</t>
  </si>
  <si>
    <t>Relativ afvigelse:  ± 1 % af SID for hver kant</t>
  </si>
  <si>
    <t>3.3. Kontrol af røntgenfelt og DR-detektor mod thoraxkant</t>
  </si>
  <si>
    <t>Røntgentæt lineal, røntgenfølsom lineal</t>
  </si>
  <si>
    <t>≤ 5 mm</t>
  </si>
  <si>
    <t>Røntgenfelt / detektor mod thorax kant</t>
  </si>
  <si>
    <t>Røntgenfelt uden for detektor ved thorax kant</t>
  </si>
  <si>
    <t>ved første eksponering</t>
  </si>
  <si>
    <t xml:space="preserve">45 mm PMMA eller alternativt modelspecifik kalibreringsklods. </t>
  </si>
  <si>
    <t>[kg]</t>
  </si>
  <si>
    <t>&gt; ½ min.</t>
  </si>
  <si>
    <t>Maks. motoriseret komp. kraft [ 150N - 200N ]</t>
  </si>
  <si>
    <t>NB: Hvis kV måles inkl. kompressionsplade vælges "compression paddle" som kV-kompensation på kV-meteret.</t>
  </si>
  <si>
    <t>Placér kV-meteret direkte oven på beskyttelsespladen på DR-detektoren ca. 3 - 6 cm fra thoraxkanten og midt</t>
  </si>
  <si>
    <t>i strålefeltet</t>
  </si>
  <si>
    <t>2.3 Linearitet af dosis-mAs-produkt</t>
  </si>
  <si>
    <t>Placér dosimeteret direkte oven på beskyttelsespladen på DR-detektoren, ca. 3 - 6 cm fra thoraxkanten og</t>
  </si>
  <si>
    <t xml:space="preserve">midt i strålefeltet. </t>
  </si>
  <si>
    <t>midt i strålefeltet.</t>
  </si>
  <si>
    <t xml:space="preserve">Metode 2.6.B:  Benyt måleudstyr og målemetode som beskrevet i f.eks. EUREF Guidelines 2006, afsnit 2a.2.1.2.2 Half Value </t>
  </si>
  <si>
    <t>Layer (HVL). Indtast målte data for HVL i nedenstående skema 2.6.B.</t>
  </si>
  <si>
    <t>Metode 2.6 A: HVL værdier er automatisk noteret i nedenstående skema 2.6.A ud fra målingerne udført i 2.4 Dosis output</t>
  </si>
  <si>
    <t xml:space="preserve">Se nedenstående skema for min-max HVL-intervaller for diverse kV og anode/filter-kombinationer </t>
  </si>
  <si>
    <t>Fokus [mm]</t>
  </si>
  <si>
    <t>18 x 24</t>
  </si>
  <si>
    <t xml:space="preserve">Kompressionsplade </t>
  </si>
  <si>
    <t xml:space="preserve">Kontroller på den røntgenfølsomme lineal, at røntgenfeltet ikke overskrider linealens nulpunkt og dermed </t>
  </si>
  <si>
    <t>Røntgentæt</t>
  </si>
  <si>
    <t xml:space="preserve"> lineal</t>
  </si>
  <si>
    <t>Røntgenfølsom</t>
  </si>
  <si>
    <t>Strålefelt</t>
  </si>
  <si>
    <t>&gt; DR</t>
  </si>
  <si>
    <t xml:space="preserve">Eksponér 6 gange med forskellige mAs-produkt-værdier i intervallet 10 – 250 mAs. </t>
  </si>
  <si>
    <t>Gentag for PMMA-tykkelser på 30, 40, 45, 50, 60 og 70 mm.</t>
  </si>
  <si>
    <t>Al folietykkelse [mm]</t>
  </si>
  <si>
    <t>Indtegn lokale ROI og globalt ROI som anvist i vejledningen</t>
  </si>
  <si>
    <t>Fjern raster - hvis muligt inden eksponering</t>
  </si>
  <si>
    <t xml:space="preserve">aktive AEC-område. Eksponér med AEC-automatik. </t>
  </si>
  <si>
    <r>
      <t xml:space="preserve">Gentag proceduren, i tykkelsen </t>
    </r>
    <r>
      <rPr>
        <i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, indtil man samlet set har øget tykkelsen af 2 mm PMMA-pladerne med ca. 20 mm.</t>
    </r>
  </si>
  <si>
    <r>
      <t xml:space="preserve">Relativ afvigelse ift. middelværdi af </t>
    </r>
    <r>
      <rPr>
        <i/>
        <sz val="11"/>
        <color theme="1"/>
        <rFont val="Calibri"/>
        <family val="2"/>
      </rPr>
      <t>SNR</t>
    </r>
    <r>
      <rPr>
        <sz val="11"/>
        <color theme="1"/>
        <rFont val="Calibri"/>
        <family val="2"/>
      </rPr>
      <t xml:space="preserve"> ≤ 20 % </t>
    </r>
  </si>
  <si>
    <t>Metode B. Dosimeter</t>
  </si>
  <si>
    <t xml:space="preserve">Diverse spacere, så korrekt ækvivalent brysttykkelse opnås under kompression. </t>
  </si>
  <si>
    <r>
      <t xml:space="preserve">5.2 A. Metode ved brug af tidligere målt dosis-output, </t>
    </r>
    <r>
      <rPr>
        <b/>
        <i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, fra kontrolpunkt 2.4 Dosis output, til beregning af indgangsdosis ESD (uden backscatter) og AGD: </t>
    </r>
  </si>
  <si>
    <t>Placér den ønskede PMMA-tykkelse på DR-detektoren</t>
  </si>
  <si>
    <t xml:space="preserve">Benyt spacere indtil den rette brystækvivalente tykkelse opnås under kompression </t>
  </si>
  <si>
    <t>Gentag proceduren for de øvrige PMMA-tykkelser.</t>
  </si>
  <si>
    <t xml:space="preserve">Anbring den ønskede PMMA-tykkelse på DR-detektoren, men forskyd evt. den øverste 10 mm PMMA-blok lidt til siden, </t>
  </si>
  <si>
    <t xml:space="preserve">så dosimeteret kan placeres mellem PMMA-blokken og kompressionspladen  </t>
  </si>
  <si>
    <t>Samme måleprocedure som under metode A.</t>
  </si>
  <si>
    <r>
      <t>Eksponér med AEC og notér : U, Q, anode/filter, ESD</t>
    </r>
    <r>
      <rPr>
        <vertAlign val="subscript"/>
        <sz val="11"/>
        <color theme="1"/>
        <rFont val="Calibri"/>
        <family val="2"/>
        <scheme val="minor"/>
      </rPr>
      <t>display</t>
    </r>
    <r>
      <rPr>
        <sz val="11"/>
        <color theme="1"/>
        <rFont val="Calibri"/>
        <family val="2"/>
        <scheme val="minor"/>
      </rPr>
      <t xml:space="preserve"> og AGD</t>
    </r>
    <r>
      <rPr>
        <vertAlign val="subscript"/>
        <sz val="11"/>
        <color theme="1"/>
        <rFont val="Calibri"/>
        <family val="2"/>
        <scheme val="minor"/>
      </rPr>
      <t>display</t>
    </r>
    <r>
      <rPr>
        <sz val="11"/>
        <color theme="1"/>
        <rFont val="Calibri"/>
        <family val="2"/>
        <scheme val="minor"/>
      </rPr>
      <t xml:space="preserve"> på konsollen, samt kompressionstykkelse</t>
    </r>
  </si>
  <si>
    <t>Metode 5.2 A : Bestemmelse af AGD ud fra målt dosis-output X fra målinger udført i 2.4 Dosis output</t>
  </si>
  <si>
    <t>Metode 5.2 B : Bestemmelse af AGD ud fra direkte måling af ESD med dosimeter</t>
  </si>
  <si>
    <r>
      <t>Eksponér med AEC og notér : U, Q, ESD</t>
    </r>
    <r>
      <rPr>
        <vertAlign val="subscript"/>
        <sz val="11"/>
        <color theme="1"/>
        <rFont val="Calibri"/>
        <family val="2"/>
        <scheme val="minor"/>
      </rPr>
      <t>målt</t>
    </r>
    <r>
      <rPr>
        <sz val="11"/>
        <color theme="1"/>
        <rFont val="Calibri"/>
        <family val="2"/>
        <scheme val="minor"/>
      </rPr>
      <t xml:space="preserve"> , anode/filter, ESD</t>
    </r>
    <r>
      <rPr>
        <vertAlign val="subscript"/>
        <sz val="11"/>
        <color theme="1"/>
        <rFont val="Calibri"/>
        <family val="2"/>
        <scheme val="minor"/>
      </rPr>
      <t>display</t>
    </r>
    <r>
      <rPr>
        <sz val="11"/>
        <color theme="1"/>
        <rFont val="Calibri"/>
        <family val="2"/>
        <scheme val="minor"/>
      </rPr>
      <t xml:space="preserve"> og AGD</t>
    </r>
    <r>
      <rPr>
        <vertAlign val="subscript"/>
        <sz val="11"/>
        <color theme="1"/>
        <rFont val="Calibri"/>
        <family val="2"/>
        <scheme val="minor"/>
      </rPr>
      <t>display</t>
    </r>
    <r>
      <rPr>
        <sz val="11"/>
        <color theme="1"/>
        <rFont val="Calibri"/>
        <family val="2"/>
        <scheme val="minor"/>
      </rPr>
      <t xml:space="preserve"> på konsollen, samt HVL og kompressionstykkelse</t>
    </r>
  </si>
  <si>
    <t>Alle måledata fra 5.2 Middeldosis til kirtelvæv ( AGD) overføres automatisk til nedenstående måleskema 5.3 Målinger</t>
  </si>
  <si>
    <r>
      <t xml:space="preserve">Relative afvigelser: </t>
    </r>
    <r>
      <rPr>
        <i/>
        <sz val="11"/>
        <color theme="1"/>
        <rFont val="Calibri"/>
        <family val="2"/>
      </rPr>
      <t>AGD</t>
    </r>
    <r>
      <rPr>
        <sz val="11"/>
        <color theme="1"/>
        <rFont val="Calibri"/>
        <family val="2"/>
      </rPr>
      <t xml:space="preserve">-afv. ≤ 20 %, </t>
    </r>
    <r>
      <rPr>
        <i/>
        <sz val="11"/>
        <color theme="1"/>
        <rFont val="Calibri"/>
        <family val="2"/>
      </rPr>
      <t>ESD-</t>
    </r>
    <r>
      <rPr>
        <sz val="11"/>
        <color theme="1"/>
        <rFont val="Calibri"/>
        <family val="2"/>
      </rPr>
      <t xml:space="preserve">Afv. ≤ 20 % </t>
    </r>
  </si>
  <si>
    <t>2 mm stålplade (skal dække hele detektorpladen). Evt. ekstra 5 cm PMMA plade.</t>
  </si>
  <si>
    <t>Eksponér og registrér om eksponeringen afbrydes, og om en evt. fejlmeddelelse vises.</t>
  </si>
  <si>
    <t xml:space="preserve">Placér det elastiske objekt ved thoraxkanten - først i midten, dernæst i f.eks. højre hjørne. </t>
  </si>
  <si>
    <t>Elektrisk/mekanisk vægt, stålplade, hårdt elastisk objekt (evt. hård skumgummi eller lign.), evt. PMMA-plader</t>
  </si>
  <si>
    <t xml:space="preserve">Manuel kompression: </t>
  </si>
  <si>
    <t>Kør kompressionspladen manuelt ned mod vægt og objekt, således at trykket på vægten gradvist øges</t>
  </si>
  <si>
    <t>Observér om apparatet kan opretholde maksimal kompressionskraft i ca. ½ minut</t>
  </si>
  <si>
    <t xml:space="preserve">Notér sammenhørende værdier mellem vægtens angivelse og apparatets angivelse af kompressionskraften </t>
  </si>
  <si>
    <t>ved ca. 50 N, 100 N, 150 N og ved maksimal kompressionskraft, Fman</t>
  </si>
  <si>
    <t>Motoriseret kompression ved brug af fodpedal:</t>
  </si>
  <si>
    <t>Kør kompressionspladen ned mod vægt og objekt, således at trykket på vægten gradvist øges</t>
  </si>
  <si>
    <t>ved maksimal kompressionskraft, Fmot</t>
  </si>
  <si>
    <t>PMMA-blokke på  ca. 20, 40, 60 mm tykkelse, og med en maksimal størrelse på ca. 15 cm x 15 cm</t>
  </si>
  <si>
    <r>
      <t>Maksimal afvigelse</t>
    </r>
    <r>
      <rPr>
        <sz val="11"/>
        <color theme="1"/>
        <rFont val="Calibri"/>
        <family val="2"/>
      </rPr>
      <t xml:space="preserve"> fra middelværdien bør være ≤ 5 %</t>
    </r>
  </si>
  <si>
    <t>Modtagekontrol + årlig statuskontrol (valgfri)</t>
  </si>
  <si>
    <t>Samlet eksponeringstid ≤ 2,0 s (bør være  ≤ 1,5 s)</t>
  </si>
  <si>
    <t>3.2 Kontrol af lysfelt/røntgenfelt</t>
  </si>
  <si>
    <t>så linealernes nulpunkter flugter med detektorens thoraxkant (se figur)</t>
  </si>
  <si>
    <t xml:space="preserve">Placér den røntgenfølsomme lineal og den røntgentætte lineal vinkelret på DR-detektorens thoraxkant ved siden af hinanden, </t>
  </si>
  <si>
    <t>DR-detektorens yderkant mod thorax.</t>
  </si>
  <si>
    <r>
      <t xml:space="preserve">Placer objektet med kantlængde </t>
    </r>
    <r>
      <rPr>
        <i/>
        <sz val="11"/>
        <color theme="1"/>
        <rFont val="Calibri"/>
        <family val="2"/>
        <scheme val="minor"/>
      </rPr>
      <t>d</t>
    </r>
    <r>
      <rPr>
        <vertAlign val="subscript"/>
        <sz val="11"/>
        <color theme="1"/>
        <rFont val="Calibri"/>
        <family val="2"/>
        <scheme val="minor"/>
      </rPr>
      <t>objekt</t>
    </r>
    <r>
      <rPr>
        <sz val="11"/>
        <color theme="1"/>
        <rFont val="Calibri"/>
        <family val="2"/>
        <scheme val="minor"/>
      </rPr>
      <t xml:space="preserve"> midt på DR-detektoren og foretag en eksponering</t>
    </r>
  </si>
  <si>
    <t>NB: Kantforskellen beregnes uden fortegn</t>
  </si>
  <si>
    <t>Lokal homogenitet: Variation  ≤ 5 %. Global homogenitet: Variation ≤ 10 %.</t>
  </si>
  <si>
    <r>
      <t>Metode A: Bestemmelse af indgangsdosis,</t>
    </r>
    <r>
      <rPr>
        <b/>
        <i/>
        <sz val="11"/>
        <rFont val="Calibri"/>
        <family val="2"/>
        <scheme val="minor"/>
      </rPr>
      <t xml:space="preserve"> ESD</t>
    </r>
    <r>
      <rPr>
        <b/>
        <sz val="11"/>
        <rFont val="Calibri"/>
        <family val="2"/>
        <scheme val="minor"/>
      </rPr>
      <t xml:space="preserve">, ved brug af dosis output, </t>
    </r>
    <r>
      <rPr>
        <b/>
        <i/>
        <sz val="11"/>
        <rFont val="Calibri"/>
        <family val="2"/>
        <scheme val="minor"/>
      </rPr>
      <t>X</t>
    </r>
    <r>
      <rPr>
        <b/>
        <sz val="11"/>
        <rFont val="Calibri"/>
        <family val="2"/>
        <scheme val="minor"/>
      </rPr>
      <t xml:space="preserve">, målt ved 2.4 Dosis Output </t>
    </r>
  </si>
  <si>
    <r>
      <t xml:space="preserve">Metode B: Måling af indgangsdosis, </t>
    </r>
    <r>
      <rPr>
        <b/>
        <i/>
        <sz val="11"/>
        <rFont val="Calibri"/>
        <family val="2"/>
        <scheme val="minor"/>
      </rPr>
      <t>ESD</t>
    </r>
    <r>
      <rPr>
        <b/>
        <sz val="11"/>
        <rFont val="Calibri"/>
        <family val="2"/>
        <scheme val="minor"/>
      </rPr>
      <t xml:space="preserve">, direkte med dosimeter </t>
    </r>
  </si>
  <si>
    <r>
      <t xml:space="preserve">4.1 + 4.2 Metode A: Bestemmelse af indgangsdosis, </t>
    </r>
    <r>
      <rPr>
        <b/>
        <i/>
        <sz val="11"/>
        <rFont val="Calibri"/>
        <family val="2"/>
        <scheme val="minor"/>
      </rPr>
      <t>ESD</t>
    </r>
    <r>
      <rPr>
        <b/>
        <sz val="11"/>
        <rFont val="Calibri"/>
        <family val="2"/>
        <scheme val="minor"/>
      </rPr>
      <t xml:space="preserve">, ved brug af dosis output,  </t>
    </r>
    <r>
      <rPr>
        <b/>
        <i/>
        <sz val="11"/>
        <rFont val="Calibri"/>
        <family val="2"/>
        <scheme val="minor"/>
      </rPr>
      <t>X</t>
    </r>
    <r>
      <rPr>
        <b/>
        <sz val="11"/>
        <rFont val="Calibri"/>
        <family val="2"/>
        <scheme val="minor"/>
      </rPr>
      <t xml:space="preserve">, målt ved 2.4 Dosis Output </t>
    </r>
  </si>
  <si>
    <r>
      <t xml:space="preserve">4.1 + 4.2 Metode B: Måling af indgangsdosis, </t>
    </r>
    <r>
      <rPr>
        <b/>
        <i/>
        <sz val="11"/>
        <rFont val="Calibri"/>
        <family val="2"/>
        <scheme val="minor"/>
      </rPr>
      <t>ESD</t>
    </r>
    <r>
      <rPr>
        <b/>
        <sz val="11"/>
        <rFont val="Calibri"/>
        <family val="2"/>
        <scheme val="minor"/>
      </rPr>
      <t xml:space="preserve">, direkte med dosimeter </t>
    </r>
  </si>
  <si>
    <r>
      <t xml:space="preserve">FDD </t>
    </r>
    <r>
      <rPr>
        <sz val="11"/>
        <color theme="1"/>
        <rFont val="Calibri"/>
        <family val="2"/>
        <scheme val="minor"/>
      </rPr>
      <t>[mm]</t>
    </r>
  </si>
  <si>
    <r>
      <t xml:space="preserve">4.3 Signal difference to noise ratio </t>
    </r>
    <r>
      <rPr>
        <b/>
        <i/>
        <sz val="14"/>
        <color theme="1"/>
        <rFont val="Calibri"/>
        <family val="2"/>
        <scheme val="minor"/>
      </rPr>
      <t xml:space="preserve">(SDNR) </t>
    </r>
    <r>
      <rPr>
        <b/>
        <sz val="14"/>
        <color theme="1"/>
        <rFont val="Calibri"/>
        <family val="2"/>
        <scheme val="minor"/>
      </rPr>
      <t>og AEC-reproducerbarhed</t>
    </r>
  </si>
  <si>
    <r>
      <t xml:space="preserve">aluminiumsfolie </t>
    </r>
    <r>
      <rPr>
        <sz val="11"/>
        <color theme="1"/>
        <rFont val="Calibri"/>
        <family val="2"/>
        <scheme val="minor"/>
      </rPr>
      <t xml:space="preserve">(ca. 10 mm x 10 mm, tykkelse 0,2 mm).  </t>
    </r>
  </si>
  <si>
    <r>
      <t xml:space="preserve">Ved alle målinger er aluminiumsfoliet placeret </t>
    </r>
    <r>
      <rPr>
        <sz val="11"/>
        <color theme="1"/>
        <rFont val="Calibri"/>
        <family val="2"/>
        <scheme val="minor"/>
      </rPr>
      <t>i samme højde over DR-detektoren (se vejledning)</t>
    </r>
  </si>
  <si>
    <t>Indtegn ROI som anvist på figur og aflæs MPV-værdier</t>
  </si>
  <si>
    <r>
      <t xml:space="preserve">Aluminiumsfoliet placeres </t>
    </r>
    <r>
      <rPr>
        <sz val="11"/>
        <color theme="1"/>
        <rFont val="Calibri"/>
        <family val="2"/>
        <scheme val="minor"/>
      </rPr>
      <t>centralt oven i kompressionspladen ca. 6 cm fra thoraxkanten</t>
    </r>
  </si>
  <si>
    <r>
      <rPr>
        <b/>
        <sz val="11"/>
        <color theme="1"/>
        <rFont val="Calibri"/>
        <family val="2"/>
        <scheme val="minor"/>
      </rPr>
      <t>NB:</t>
    </r>
    <r>
      <rPr>
        <sz val="11"/>
        <color theme="1"/>
        <rFont val="Calibri"/>
        <family val="2"/>
        <scheme val="minor"/>
      </rPr>
      <t xml:space="preserve"> Den næste eksponering skal foretages indenfor et minut med samme eksponeringsparametre som </t>
    </r>
  </si>
  <si>
    <t>Maks. manuel komp. kraft [ 200 N - 300N ]</t>
  </si>
  <si>
    <t>Ingen defekter, mangler eller fejl på apparatur, eller på mekaniske og elektriske dele.</t>
  </si>
  <si>
    <t>07.06.2022</t>
  </si>
  <si>
    <t>MANGLER</t>
  </si>
  <si>
    <t>RÅDFØR MED MFE</t>
  </si>
  <si>
    <r>
      <t xml:space="preserve">Modtagekontrol </t>
    </r>
    <r>
      <rPr>
        <sz val="11"/>
        <color theme="1"/>
        <rFont val="Calibri"/>
        <family val="2"/>
        <scheme val="minor"/>
      </rPr>
      <t>(valgfri)</t>
    </r>
  </si>
  <si>
    <r>
      <rPr>
        <sz val="11"/>
        <color theme="1"/>
        <rFont val="Calibri"/>
        <family val="2"/>
        <scheme val="minor"/>
      </rPr>
      <t>Modtagekontrol + årlig statuskontrol (valgfri)</t>
    </r>
  </si>
  <si>
    <t>og linealens nulpunkt.</t>
  </si>
  <si>
    <r>
      <t xml:space="preserve">Aflæs på røntgenbilledet af </t>
    </r>
    <r>
      <rPr>
        <sz val="11"/>
        <color theme="1"/>
        <rFont val="Calibri"/>
        <family val="2"/>
        <scheme val="minor"/>
      </rPr>
      <t xml:space="preserve">den røntgentætte lineal afstanden </t>
    </r>
    <r>
      <rPr>
        <i/>
        <sz val="11"/>
        <color theme="1"/>
        <rFont val="Calibri"/>
        <family val="2"/>
        <scheme val="minor"/>
      </rPr>
      <t>d</t>
    </r>
    <r>
      <rPr>
        <vertAlign val="subscript"/>
        <sz val="11"/>
        <color theme="1"/>
        <rFont val="Calibri"/>
        <family val="2"/>
        <scheme val="minor"/>
      </rPr>
      <t>thoraxkant</t>
    </r>
    <r>
      <rPr>
        <sz val="11"/>
        <color theme="1"/>
        <rFont val="Calibri"/>
        <family val="2"/>
        <scheme val="minor"/>
      </rPr>
      <t xml:space="preserve"> mellem røntgenfeltets thoraxnære kant </t>
    </r>
  </si>
  <si>
    <r>
      <t xml:space="preserve">Røntgenfeltet må ikke overskride DR-detektorens thoraxnære kant. Afstanden </t>
    </r>
    <r>
      <rPr>
        <i/>
        <sz val="11"/>
        <color theme="1"/>
        <rFont val="Calibri"/>
        <family val="2"/>
      </rPr>
      <t>d</t>
    </r>
    <r>
      <rPr>
        <vertAlign val="subscript"/>
        <sz val="11"/>
        <color theme="1"/>
        <rFont val="Calibri"/>
        <family val="2"/>
      </rPr>
      <t>thoraxkant</t>
    </r>
    <r>
      <rPr>
        <sz val="11"/>
        <color theme="1"/>
        <rFont val="Calibri"/>
        <family val="2"/>
      </rPr>
      <t xml:space="preserve"> ≤ 5 mm</t>
    </r>
  </si>
  <si>
    <t>Resultatet af en måling eller udregning  - eller at resultatet er inden for tolerancen - OK</t>
  </si>
  <si>
    <t>Resultatet er uden for tolerancen -  IKKE OK</t>
  </si>
  <si>
    <t xml:space="preserve">Vejledningens tilhørende måleskema ’Registreringsark til modtage- og statuskontrol til mammografiapparater’, er tænkt som en skabelon </t>
  </si>
  <si>
    <t xml:space="preserve">Måleskemaet er `låst` for at forhindre utilsigtede ændringer under arbejdsprocessen, men der er Ikke noget password, så man har </t>
  </si>
  <si>
    <t>for de enkelte delkontroller.</t>
  </si>
  <si>
    <t>herefter automatisk selv resultaterne for de relevante parametre, som kontrollen indeholder.</t>
  </si>
  <si>
    <t xml:space="preserve">I skemaet er der også plads til at notere eksponeringsparametre som f.eks. mAs-produkt og anode/filter-kombination, som ikke </t>
  </si>
  <si>
    <t xml:space="preserve">nødvendigvis direkte indgår i beregningerne. Det er vigtigt at notere disse værdier, for at kunne reproducere målingerne og </t>
  </si>
  <si>
    <t>sammenligne kommende kontroller.</t>
  </si>
  <si>
    <t>Måledata og anden information skrives i måleskemaets gule felter (som ikke er låst). Nogle gule felter i måleskemaet</t>
  </si>
  <si>
    <t>Administration af måleskema</t>
  </si>
  <si>
    <t>Farvekodning af celler</t>
  </si>
  <si>
    <t>baggrundsinformation om f.eks. kontrolpunkternes formål eller metode. Denne information skal søges i selve vejledningen.</t>
  </si>
  <si>
    <t xml:space="preserve">Alle indtastede data og målinger overfører automatisk til de tilhørende beregningsceller- og kolonner, og måleskemaet beregner </t>
  </si>
  <si>
    <t>Cellens værdi er hentet fra et andet måleskema eller fra andre celler i regnearket</t>
  </si>
  <si>
    <t>Celler til valg af f.eks. kV og anode-filter kombination er listeceller, så valg kan foretages fra drop-down liste</t>
  </si>
  <si>
    <t>Celler til valg af f.eks. metoder, ja/nej m.m. er listeceller, så valg kan foretages fra drop-down liste</t>
  </si>
  <si>
    <t>Data hentet fra 4.3 A</t>
  </si>
  <si>
    <r>
      <t>Δ</t>
    </r>
    <r>
      <rPr>
        <i/>
        <sz val="11"/>
        <color theme="1"/>
        <rFont val="Calibri"/>
        <family val="2"/>
      </rPr>
      <t>SDNR</t>
    </r>
    <r>
      <rPr>
        <i/>
        <vertAlign val="subscript"/>
        <sz val="11"/>
        <color theme="1"/>
        <rFont val="Calibri"/>
        <family val="2"/>
      </rPr>
      <t>45 mm</t>
    </r>
  </si>
  <si>
    <t>Revisionshistorik</t>
  </si>
  <si>
    <t>Lister - måleværdier:</t>
  </si>
  <si>
    <t>Lister - målemetoder:</t>
  </si>
  <si>
    <r>
      <t xml:space="preserve">Variation af responsfunktionens støjtal </t>
    </r>
    <r>
      <rPr>
        <i/>
        <sz val="11"/>
        <rFont val="Calibri"/>
        <family val="2"/>
      </rPr>
      <t>SD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: Determinations koefficient </t>
    </r>
    <r>
      <rPr>
        <i/>
        <sz val="11"/>
        <rFont val="Calibri"/>
        <family val="2"/>
      </rPr>
      <t>R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≥ 0,95</t>
    </r>
  </si>
  <si>
    <t>Variation af responsfunktionens linearitet α: maks. afv. 10 %</t>
  </si>
  <si>
    <r>
      <t>Afvigelse ± 20 N, Motoriseret : 150 N ≤</t>
    </r>
    <r>
      <rPr>
        <i/>
        <sz val="11"/>
        <rFont val="Calibri"/>
        <family val="2"/>
      </rPr>
      <t xml:space="preserve"> F</t>
    </r>
    <r>
      <rPr>
        <vertAlign val="subscript"/>
        <sz val="11"/>
        <rFont val="Calibri"/>
        <family val="2"/>
      </rPr>
      <t>mot</t>
    </r>
    <r>
      <rPr>
        <sz val="11"/>
        <rFont val="Calibri"/>
        <family val="2"/>
      </rPr>
      <t xml:space="preserve"> ≤ 200 N, Manuel : 200 N ≤ </t>
    </r>
    <r>
      <rPr>
        <i/>
        <sz val="11"/>
        <rFont val="Calibri"/>
        <family val="2"/>
      </rPr>
      <t>F</t>
    </r>
    <r>
      <rPr>
        <vertAlign val="subscript"/>
        <sz val="11"/>
        <rFont val="Calibri"/>
        <family val="2"/>
      </rPr>
      <t>man</t>
    </r>
    <r>
      <rPr>
        <sz val="11"/>
        <rFont val="Calibri"/>
        <family val="2"/>
      </rPr>
      <t xml:space="preserve"> ≤ 300 N, Varighed: min. ½ min. </t>
    </r>
  </si>
  <si>
    <t xml:space="preserve">Måleskemaet kan ligeledes benyttes til indberetning af AGD- og SDNR-værdier til SIS i fm. referencedosimetri for mammografi, idet </t>
  </si>
  <si>
    <t>måling af ´patientdoser´ foretages på de samme PMMA-fantomer, som benyttes ved modtage- og statuskontrollen.</t>
  </si>
  <si>
    <t>selv mulighed for at tilpasse måleskemaet til eget brug (hvis nødvendigt).</t>
  </si>
  <si>
    <t>til f.eks. angivelse af kV, anode-filter kombination m.m. vil have en drop-down liste, som værdierne skal vælges fra.</t>
  </si>
  <si>
    <t>Der kan skrives i cellen. Kun lyse gule celler er åbne for indtastning af tekst, måledata og data fra drop-down-liste</t>
  </si>
  <si>
    <t xml:space="preserve">Til hvert kapitel i vejledningen hører et faneblad i måleskemaet, hvor målte data og anden information kan indtastes i skemaet gule felter </t>
  </si>
  <si>
    <t xml:space="preserve">Måleskemaet kan således opfattes som et praktisk arbejdsredskab ved udførelsen af kontrollerne, men indeholder ikke al </t>
  </si>
  <si>
    <t>til brug for dokumentation af målte og beregnede data i forbindelse med udførelsen af modtage - og statuskontrol på apparatet.</t>
  </si>
  <si>
    <r>
      <t xml:space="preserve">Generel information om måleskemaet - </t>
    </r>
    <r>
      <rPr>
        <b/>
        <sz val="14"/>
        <color rgb="FFFF0000"/>
        <rFont val="Calibri"/>
        <family val="2"/>
        <scheme val="minor"/>
      </rPr>
      <t>kladde</t>
    </r>
  </si>
  <si>
    <r>
      <t xml:space="preserve">Generelle data til ark i måleskemaer: </t>
    </r>
    <r>
      <rPr>
        <b/>
        <sz val="14"/>
        <color rgb="FFFF0000"/>
        <rFont val="Calibri"/>
        <family val="2"/>
        <scheme val="minor"/>
      </rPr>
      <t>kladde</t>
    </r>
  </si>
  <si>
    <r>
      <t xml:space="preserve">Kontroloversigt - </t>
    </r>
    <r>
      <rPr>
        <b/>
        <sz val="20"/>
        <color rgb="FFFF0000"/>
        <rFont val="Calibri"/>
        <family val="2"/>
        <scheme val="minor"/>
      </rPr>
      <t>kladde</t>
    </r>
  </si>
  <si>
    <r>
      <t xml:space="preserve">2. Røntgengenerator og røntgenrør - </t>
    </r>
    <r>
      <rPr>
        <b/>
        <sz val="20"/>
        <color rgb="FFFF0000"/>
        <rFont val="Calibri"/>
        <family val="2"/>
        <scheme val="minor"/>
      </rPr>
      <t>kladde</t>
    </r>
  </si>
  <si>
    <r>
      <t xml:space="preserve">3.3. Lysfelt, røntgenfelt, detektorfelt - </t>
    </r>
    <r>
      <rPr>
        <b/>
        <sz val="20"/>
        <color rgb="FFFF0000"/>
        <rFont val="Calibri"/>
        <family val="2"/>
        <scheme val="minor"/>
      </rPr>
      <t>kladde</t>
    </r>
  </si>
  <si>
    <r>
      <t xml:space="preserve">4. DR-detektor og billedkvalitet  - </t>
    </r>
    <r>
      <rPr>
        <b/>
        <sz val="20"/>
        <color rgb="FFFF0000"/>
        <rFont val="Calibri"/>
        <family val="2"/>
        <scheme val="minor"/>
      </rPr>
      <t>kladde</t>
    </r>
  </si>
  <si>
    <r>
      <t xml:space="preserve">5. 5. Eksponeringsautomatik (AEC) - </t>
    </r>
    <r>
      <rPr>
        <b/>
        <sz val="20"/>
        <color rgb="FFFF0000"/>
        <rFont val="Calibri"/>
        <family val="2"/>
        <scheme val="minor"/>
      </rPr>
      <t>kladde</t>
    </r>
  </si>
  <si>
    <r>
      <t xml:space="preserve">6. Mekaniske kontroller og eftersyn - </t>
    </r>
    <r>
      <rPr>
        <b/>
        <sz val="20"/>
        <color rgb="FFFF0000"/>
        <rFont val="Calibri"/>
        <family val="2"/>
        <scheme val="minor"/>
      </rPr>
      <t>kladde</t>
    </r>
  </si>
  <si>
    <r>
      <t xml:space="preserve">7. Referencedosimetri, DRL - </t>
    </r>
    <r>
      <rPr>
        <b/>
        <sz val="20"/>
        <color rgb="FFFF0000"/>
        <rFont val="Calibri"/>
        <family val="2"/>
        <scheme val="minor"/>
      </rPr>
      <t>kladde</t>
    </r>
  </si>
  <si>
    <t>2.7 Rasterfaktor</t>
  </si>
  <si>
    <t>Benyt også skemaet hvis HVL bestemmes med kV-meter uden måling af dosisoutput i 2.4 Dosis Output.</t>
  </si>
  <si>
    <r>
      <t xml:space="preserve">EUREF for metode ) </t>
    </r>
    <r>
      <rPr>
        <sz val="11"/>
        <color rgb="FFFF0000"/>
        <rFont val="Calibri"/>
        <family val="2"/>
        <scheme val="minor"/>
      </rPr>
      <t>eller ved</t>
    </r>
  </si>
  <si>
    <t>måling med kV-meter</t>
  </si>
  <si>
    <t xml:space="preserve">Eksponeringstiden skal være inkl. præ-puls og blanking, såfremt præ-pulsen bidrager til billeddata. </t>
  </si>
  <si>
    <t>Vurdering og generelle bemærkninger til: 7. Referencedosimetri, DRL</t>
  </si>
  <si>
    <t>7. Indberetning af AGD- og SDNR-værdier for måling på PMMA</t>
  </si>
  <si>
    <t>7 Testparametre</t>
  </si>
  <si>
    <t>7 Måling af AGD</t>
  </si>
  <si>
    <t>Dette faneblad kopieres og indsendes til SIS: referencedoser@sis.dk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</si>
</sst>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0.0000"/>
    <numFmt numFmtId="167" formatCode="#,##0.000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i/>
      <sz val="11"/>
      <name val="Calibri"/>
      <family val="2"/>
      <scheme val="minor"/>
    </font>
    <font>
      <i/>
      <sz val="11"/>
      <name val="Calibri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vertAlign val="superscript"/>
      <sz val="11"/>
      <name val="Calibri"/>
      <family val="2"/>
    </font>
    <font>
      <i/>
      <vertAlign val="subscript"/>
      <sz val="11"/>
      <color theme="1"/>
      <name val="Calibri"/>
      <family val="2"/>
    </font>
    <font>
      <vertAlign val="subscript"/>
      <sz val="11"/>
      <name val="Calibri"/>
      <family val="2"/>
    </font>
    <font>
      <b/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13">
    <xf numFmtId="0" fontId="0" fillId="0" borderId="0" xfId="0"/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0" fillId="3" borderId="5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4" fontId="0" fillId="3" borderId="6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4" fontId="0" fillId="0" borderId="5" xfId="0" applyNumberFormat="1" applyBorder="1" applyAlignment="1" applyProtection="1">
      <alignment horizontal="center"/>
    </xf>
    <xf numFmtId="164" fontId="0" fillId="0" borderId="6" xfId="0" applyNumberFormat="1" applyBorder="1" applyAlignment="1" applyProtection="1">
      <alignment horizontal="center"/>
    </xf>
    <xf numFmtId="165" fontId="0" fillId="0" borderId="4" xfId="0" applyNumberFormat="1" applyBorder="1" applyAlignment="1" applyProtection="1">
      <alignment horizontal="center"/>
    </xf>
    <xf numFmtId="165" fontId="0" fillId="0" borderId="5" xfId="0" applyNumberFormat="1" applyBorder="1" applyAlignment="1" applyProtection="1">
      <alignment horizontal="center"/>
    </xf>
    <xf numFmtId="165" fontId="0" fillId="0" borderId="6" xfId="0" applyNumberFormat="1" applyBorder="1" applyAlignment="1" applyProtection="1">
      <alignment horizontal="center"/>
    </xf>
    <xf numFmtId="2" fontId="0" fillId="0" borderId="4" xfId="0" applyNumberForma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164" fontId="0" fillId="0" borderId="4" xfId="0" applyNumberFormat="1" applyFill="1" applyBorder="1" applyAlignment="1" applyProtection="1">
      <alignment horizontal="center"/>
    </xf>
    <xf numFmtId="164" fontId="0" fillId="0" borderId="5" xfId="0" applyNumberFormat="1" applyFill="1" applyBorder="1" applyAlignment="1" applyProtection="1">
      <alignment horizontal="center"/>
    </xf>
    <xf numFmtId="164" fontId="0" fillId="0" borderId="6" xfId="0" applyNumberFormat="1" applyFill="1" applyBorder="1" applyAlignment="1" applyProtection="1">
      <alignment horizontal="center"/>
    </xf>
    <xf numFmtId="165" fontId="0" fillId="0" borderId="4" xfId="0" applyNumberFormat="1" applyFill="1" applyBorder="1" applyAlignment="1" applyProtection="1">
      <alignment horizontal="center"/>
    </xf>
    <xf numFmtId="2" fontId="0" fillId="0" borderId="4" xfId="0" applyNumberFormat="1" applyFill="1" applyBorder="1" applyAlignment="1" applyProtection="1">
      <alignment horizontal="center"/>
    </xf>
    <xf numFmtId="165" fontId="0" fillId="0" borderId="5" xfId="0" applyNumberFormat="1" applyFill="1" applyBorder="1" applyAlignment="1" applyProtection="1">
      <alignment horizontal="center"/>
    </xf>
    <xf numFmtId="2" fontId="0" fillId="0" borderId="5" xfId="0" applyNumberFormat="1" applyFill="1" applyBorder="1" applyAlignment="1" applyProtection="1">
      <alignment horizontal="center"/>
    </xf>
    <xf numFmtId="165" fontId="0" fillId="0" borderId="6" xfId="0" applyNumberFormat="1" applyFill="1" applyBorder="1" applyAlignment="1" applyProtection="1">
      <alignment horizontal="center"/>
    </xf>
    <xf numFmtId="2" fontId="0" fillId="0" borderId="6" xfId="0" applyNumberFormat="1" applyFill="1" applyBorder="1" applyAlignment="1" applyProtection="1">
      <alignment horizontal="center"/>
    </xf>
    <xf numFmtId="0" fontId="0" fillId="0" borderId="4" xfId="0" applyNumberFormat="1" applyFill="1" applyBorder="1" applyAlignment="1" applyProtection="1">
      <alignment horizontal="center"/>
    </xf>
    <xf numFmtId="0" fontId="0" fillId="0" borderId="5" xfId="0" applyNumberForma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>
      <alignment horizontal="center"/>
    </xf>
    <xf numFmtId="164" fontId="2" fillId="0" borderId="4" xfId="0" applyNumberFormat="1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165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</xf>
    <xf numFmtId="165" fontId="0" fillId="6" borderId="2" xfId="0" applyNumberFormat="1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0" fontId="0" fillId="8" borderId="4" xfId="0" applyFill="1" applyBorder="1" applyAlignment="1" applyProtection="1">
      <alignment horizontal="center"/>
      <protection locked="0"/>
    </xf>
    <xf numFmtId="0" fontId="0" fillId="8" borderId="5" xfId="0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/>
      <protection locked="0"/>
    </xf>
    <xf numFmtId="165" fontId="0" fillId="8" borderId="4" xfId="0" applyNumberFormat="1" applyFill="1" applyBorder="1" applyAlignment="1" applyProtection="1">
      <alignment horizontal="center"/>
      <protection locked="0"/>
    </xf>
    <xf numFmtId="165" fontId="0" fillId="8" borderId="5" xfId="0" applyNumberFormat="1" applyFill="1" applyBorder="1" applyAlignment="1" applyProtection="1">
      <alignment horizontal="center"/>
      <protection locked="0"/>
    </xf>
    <xf numFmtId="165" fontId="0" fillId="8" borderId="6" xfId="0" applyNumberFormat="1" applyFill="1" applyBorder="1" applyAlignment="1" applyProtection="1">
      <alignment horizontal="center"/>
      <protection locked="0"/>
    </xf>
    <xf numFmtId="1" fontId="0" fillId="8" borderId="4" xfId="0" applyNumberFormat="1" applyFill="1" applyBorder="1" applyAlignment="1" applyProtection="1">
      <alignment horizontal="center"/>
      <protection locked="0"/>
    </xf>
    <xf numFmtId="1" fontId="0" fillId="8" borderId="5" xfId="0" applyNumberFormat="1" applyFill="1" applyBorder="1" applyAlignment="1" applyProtection="1">
      <alignment horizontal="center"/>
      <protection locked="0"/>
    </xf>
    <xf numFmtId="164" fontId="0" fillId="8" borderId="5" xfId="0" applyNumberFormat="1" applyFill="1" applyBorder="1" applyAlignment="1" applyProtection="1">
      <alignment horizontal="center"/>
      <protection locked="0"/>
    </xf>
    <xf numFmtId="1" fontId="0" fillId="8" borderId="6" xfId="0" applyNumberFormat="1" applyFill="1" applyBorder="1" applyAlignment="1" applyProtection="1">
      <alignment horizontal="center"/>
      <protection locked="0"/>
    </xf>
    <xf numFmtId="164" fontId="0" fillId="8" borderId="6" xfId="0" applyNumberFormat="1" applyFill="1" applyBorder="1" applyAlignment="1" applyProtection="1">
      <alignment horizontal="center"/>
      <protection locked="0"/>
    </xf>
    <xf numFmtId="164" fontId="0" fillId="8" borderId="4" xfId="0" applyNumberFormat="1" applyFill="1" applyBorder="1" applyAlignment="1" applyProtection="1">
      <alignment horizontal="center"/>
      <protection locked="0"/>
    </xf>
    <xf numFmtId="164" fontId="0" fillId="8" borderId="3" xfId="0" applyNumberForma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164" fontId="2" fillId="3" borderId="4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6" borderId="3" xfId="0" applyFill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165" fontId="0" fillId="0" borderId="3" xfId="0" applyNumberFormat="1" applyBorder="1" applyAlignment="1" applyProtection="1">
      <alignment horizontal="center"/>
      <protection hidden="1"/>
    </xf>
    <xf numFmtId="0" fontId="0" fillId="0" borderId="4" xfId="0" applyFill="1" applyBorder="1" applyAlignment="1" applyProtection="1">
      <alignment horizontal="center"/>
      <protection hidden="1"/>
    </xf>
    <xf numFmtId="0" fontId="0" fillId="0" borderId="5" xfId="0" applyFill="1" applyBorder="1" applyAlignment="1" applyProtection="1">
      <alignment horizontal="center"/>
      <protection hidden="1"/>
    </xf>
    <xf numFmtId="0" fontId="0" fillId="0" borderId="6" xfId="0" applyFill="1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164" fontId="0" fillId="9" borderId="6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166" fontId="0" fillId="0" borderId="4" xfId="0" applyNumberFormat="1" applyBorder="1" applyAlignment="1" applyProtection="1">
      <alignment horizontal="center"/>
    </xf>
    <xf numFmtId="166" fontId="0" fillId="0" borderId="5" xfId="0" applyNumberFormat="1" applyBorder="1" applyAlignment="1" applyProtection="1">
      <alignment horizontal="center"/>
    </xf>
    <xf numFmtId="166" fontId="0" fillId="0" borderId="6" xfId="0" applyNumberFormat="1" applyBorder="1" applyAlignment="1" applyProtection="1">
      <alignment horizontal="center"/>
    </xf>
    <xf numFmtId="0" fontId="0" fillId="4" borderId="0" xfId="0" applyFill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165" fontId="0" fillId="5" borderId="4" xfId="0" applyNumberFormat="1" applyFill="1" applyBorder="1" applyAlignment="1" applyProtection="1">
      <alignment horizontal="center"/>
    </xf>
    <xf numFmtId="165" fontId="0" fillId="5" borderId="5" xfId="0" applyNumberFormat="1" applyFill="1" applyBorder="1" applyAlignment="1" applyProtection="1">
      <alignment horizontal="center"/>
    </xf>
    <xf numFmtId="165" fontId="0" fillId="5" borderId="6" xfId="0" applyNumberFormat="1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9" borderId="7" xfId="0" applyFont="1" applyFill="1" applyBorder="1" applyAlignment="1" applyProtection="1">
      <alignment horizontal="left" vertical="center"/>
    </xf>
    <xf numFmtId="0" fontId="0" fillId="9" borderId="8" xfId="0" applyFont="1" applyFill="1" applyBorder="1" applyProtection="1"/>
    <xf numFmtId="0" fontId="1" fillId="9" borderId="8" xfId="0" applyFont="1" applyFill="1" applyBorder="1" applyProtection="1"/>
    <xf numFmtId="0" fontId="0" fillId="9" borderId="8" xfId="0" applyFont="1" applyFill="1" applyBorder="1" applyAlignment="1" applyProtection="1">
      <alignment horizontal="left"/>
    </xf>
    <xf numFmtId="0" fontId="0" fillId="9" borderId="9" xfId="0" applyFont="1" applyFill="1" applyBorder="1" applyProtection="1"/>
    <xf numFmtId="0" fontId="0" fillId="0" borderId="0" xfId="0" applyProtection="1"/>
    <xf numFmtId="0" fontId="0" fillId="9" borderId="2" xfId="0" applyFont="1" applyFill="1" applyBorder="1" applyAlignment="1" applyProtection="1">
      <alignment horizontal="left"/>
    </xf>
    <xf numFmtId="0" fontId="0" fillId="9" borderId="0" xfId="0" applyFont="1" applyFill="1" applyBorder="1" applyProtection="1"/>
    <xf numFmtId="0" fontId="1" fillId="9" borderId="0" xfId="0" applyFont="1" applyFill="1" applyBorder="1" applyProtection="1"/>
    <xf numFmtId="0" fontId="0" fillId="9" borderId="0" xfId="0" applyFont="1" applyFill="1" applyBorder="1" applyAlignment="1" applyProtection="1">
      <alignment horizontal="left"/>
    </xf>
    <xf numFmtId="0" fontId="0" fillId="9" borderId="11" xfId="0" applyFont="1" applyFill="1" applyBorder="1" applyProtection="1"/>
    <xf numFmtId="0" fontId="0" fillId="9" borderId="2" xfId="0" applyFont="1" applyFill="1" applyBorder="1" applyAlignment="1" applyProtection="1">
      <alignment horizontal="left" vertical="center"/>
    </xf>
    <xf numFmtId="0" fontId="1" fillId="9" borderId="0" xfId="0" applyFont="1" applyFill="1" applyBorder="1" applyAlignment="1" applyProtection="1">
      <alignment horizontal="left"/>
    </xf>
    <xf numFmtId="0" fontId="0" fillId="9" borderId="10" xfId="0" applyFont="1" applyFill="1" applyBorder="1" applyProtection="1"/>
    <xf numFmtId="0" fontId="0" fillId="9" borderId="3" xfId="0" applyFont="1" applyFill="1" applyBorder="1" applyProtection="1"/>
    <xf numFmtId="0" fontId="0" fillId="9" borderId="12" xfId="0" applyFont="1" applyFill="1" applyBorder="1" applyProtection="1"/>
    <xf numFmtId="0" fontId="0" fillId="0" borderId="0" xfId="0" applyFont="1" applyFill="1" applyBorder="1" applyProtection="1"/>
    <xf numFmtId="0" fontId="3" fillId="4" borderId="1" xfId="0" applyFont="1" applyFill="1" applyBorder="1" applyAlignment="1" applyProtection="1">
      <alignment horizontal="center"/>
    </xf>
    <xf numFmtId="0" fontId="3" fillId="4" borderId="15" xfId="0" applyFont="1" applyFill="1" applyBorder="1" applyProtection="1"/>
    <xf numFmtId="0" fontId="0" fillId="4" borderId="15" xfId="0" applyFont="1" applyFill="1" applyBorder="1" applyProtection="1"/>
    <xf numFmtId="0" fontId="0" fillId="4" borderId="15" xfId="0" applyFill="1" applyBorder="1" applyProtection="1"/>
    <xf numFmtId="0" fontId="0" fillId="4" borderId="14" xfId="0" applyFill="1" applyBorder="1" applyProtection="1"/>
    <xf numFmtId="0" fontId="0" fillId="0" borderId="8" xfId="0" applyFont="1" applyFill="1" applyBorder="1" applyProtection="1"/>
    <xf numFmtId="0" fontId="0" fillId="0" borderId="8" xfId="0" applyFont="1" applyBorder="1" applyProtection="1"/>
    <xf numFmtId="0" fontId="0" fillId="0" borderId="5" xfId="0" applyBorder="1" applyAlignment="1" applyProtection="1">
      <alignment horizontal="center"/>
    </xf>
    <xf numFmtId="0" fontId="0" fillId="0" borderId="0" xfId="0" applyFont="1" applyBorder="1" applyProtection="1"/>
    <xf numFmtId="0" fontId="0" fillId="0" borderId="3" xfId="0" applyFont="1" applyBorder="1" applyProtection="1"/>
    <xf numFmtId="0" fontId="3" fillId="4" borderId="0" xfId="0" applyFont="1" applyFill="1" applyProtection="1"/>
    <xf numFmtId="0" fontId="1" fillId="4" borderId="0" xfId="0" applyFont="1" applyFill="1" applyProtection="1"/>
    <xf numFmtId="0" fontId="0" fillId="4" borderId="0" xfId="0" applyFill="1" applyBorder="1" applyProtection="1"/>
    <xf numFmtId="0" fontId="0" fillId="0" borderId="8" xfId="0" applyBorder="1" applyProtection="1"/>
    <xf numFmtId="0" fontId="0" fillId="0" borderId="0" xfId="0" applyBorder="1" applyProtection="1"/>
    <xf numFmtId="0" fontId="0" fillId="0" borderId="6" xfId="0" applyBorder="1" applyAlignment="1" applyProtection="1">
      <alignment horizontal="center"/>
    </xf>
    <xf numFmtId="0" fontId="0" fillId="0" borderId="3" xfId="0" applyBorder="1" applyProtection="1"/>
    <xf numFmtId="0" fontId="3" fillId="4" borderId="3" xfId="0" applyFont="1" applyFill="1" applyBorder="1" applyProtection="1"/>
    <xf numFmtId="0" fontId="1" fillId="4" borderId="3" xfId="0" applyFont="1" applyFill="1" applyBorder="1" applyProtection="1"/>
    <xf numFmtId="0" fontId="1" fillId="0" borderId="0" xfId="0" applyFont="1" applyFill="1" applyProtection="1"/>
    <xf numFmtId="0" fontId="0" fillId="0" borderId="0" xfId="0" applyFill="1" applyProtection="1"/>
    <xf numFmtId="0" fontId="0" fillId="0" borderId="0" xfId="0" applyAlignment="1" applyProtection="1">
      <alignment horizontal="left"/>
    </xf>
    <xf numFmtId="0" fontId="13" fillId="4" borderId="0" xfId="0" applyFont="1" applyFill="1" applyProtection="1"/>
    <xf numFmtId="0" fontId="0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1" fillId="6" borderId="0" xfId="0" applyFont="1" applyFill="1" applyProtection="1"/>
    <xf numFmtId="0" fontId="0" fillId="6" borderId="0" xfId="0" applyFill="1" applyProtection="1"/>
    <xf numFmtId="0" fontId="0" fillId="6" borderId="0" xfId="0" applyFill="1" applyBorder="1" applyProtection="1"/>
    <xf numFmtId="0" fontId="11" fillId="6" borderId="0" xfId="0" applyFont="1" applyFill="1" applyBorder="1" applyAlignment="1" applyProtection="1">
      <alignment horizontal="right"/>
    </xf>
    <xf numFmtId="0" fontId="0" fillId="4" borderId="0" xfId="0" applyFill="1" applyProtection="1"/>
    <xf numFmtId="0" fontId="10" fillId="2" borderId="0" xfId="0" applyFont="1" applyFill="1" applyBorder="1" applyAlignment="1" applyProtection="1">
      <alignment horizontal="left"/>
    </xf>
    <xf numFmtId="0" fontId="0" fillId="2" borderId="0" xfId="0" applyFill="1" applyBorder="1" applyProtection="1"/>
    <xf numFmtId="0" fontId="0" fillId="2" borderId="0" xfId="0" applyFill="1" applyProtection="1"/>
    <xf numFmtId="0" fontId="0" fillId="0" borderId="7" xfId="0" applyFont="1" applyFill="1" applyBorder="1" applyProtection="1"/>
    <xf numFmtId="0" fontId="0" fillId="0" borderId="8" xfId="0" applyFill="1" applyBorder="1" applyProtection="1"/>
    <xf numFmtId="0" fontId="0" fillId="0" borderId="9" xfId="0" applyBorder="1" applyProtection="1"/>
    <xf numFmtId="0" fontId="0" fillId="0" borderId="2" xfId="0" applyFont="1" applyFill="1" applyBorder="1" applyProtection="1"/>
    <xf numFmtId="0" fontId="0" fillId="0" borderId="0" xfId="0" applyFill="1" applyBorder="1" applyProtection="1"/>
    <xf numFmtId="0" fontId="0" fillId="0" borderId="11" xfId="0" applyBorder="1" applyProtection="1"/>
    <xf numFmtId="0" fontId="0" fillId="0" borderId="3" xfId="0" applyFill="1" applyBorder="1" applyProtection="1"/>
    <xf numFmtId="0" fontId="0" fillId="0" borderId="12" xfId="0" applyBorder="1" applyProtection="1"/>
    <xf numFmtId="0" fontId="1" fillId="0" borderId="0" xfId="0" applyFont="1" applyFill="1" applyBorder="1" applyProtection="1"/>
    <xf numFmtId="0" fontId="10" fillId="2" borderId="3" xfId="0" applyFont="1" applyFill="1" applyBorder="1" applyAlignment="1" applyProtection="1">
      <alignment horizontal="left"/>
    </xf>
    <xf numFmtId="0" fontId="0" fillId="2" borderId="3" xfId="0" applyFill="1" applyBorder="1" applyProtection="1"/>
    <xf numFmtId="0" fontId="0" fillId="2" borderId="4" xfId="0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0" fillId="0" borderId="2" xfId="0" applyFill="1" applyBorder="1" applyProtection="1"/>
    <xf numFmtId="0" fontId="0" fillId="0" borderId="10" xfId="0" applyFill="1" applyBorder="1" applyProtection="1"/>
    <xf numFmtId="0" fontId="2" fillId="0" borderId="3" xfId="0" applyFont="1" applyFill="1" applyBorder="1" applyProtection="1"/>
    <xf numFmtId="0" fontId="2" fillId="0" borderId="0" xfId="0" applyFont="1" applyFill="1" applyBorder="1" applyProtection="1"/>
    <xf numFmtId="0" fontId="2" fillId="0" borderId="8" xfId="0" applyFont="1" applyBorder="1" applyProtection="1"/>
    <xf numFmtId="0" fontId="0" fillId="0" borderId="2" xfId="0" applyBorder="1" applyProtection="1"/>
    <xf numFmtId="0" fontId="2" fillId="0" borderId="0" xfId="0" applyFont="1" applyFill="1" applyBorder="1" applyAlignment="1" applyProtection="1">
      <alignment horizontal="center"/>
    </xf>
    <xf numFmtId="0" fontId="0" fillId="9" borderId="5" xfId="0" applyFill="1" applyBorder="1" applyAlignment="1" applyProtection="1">
      <alignment horizontal="center"/>
    </xf>
    <xf numFmtId="0" fontId="0" fillId="9" borderId="6" xfId="0" applyFill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Protection="1"/>
    <xf numFmtId="0" fontId="0" fillId="0" borderId="8" xfId="0" applyFill="1" applyBorder="1" applyAlignment="1" applyProtection="1">
      <alignment horizontal="left"/>
    </xf>
    <xf numFmtId="0" fontId="0" fillId="0" borderId="11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" fillId="0" borderId="3" xfId="0" applyFont="1" applyBorder="1" applyProtection="1"/>
    <xf numFmtId="0" fontId="1" fillId="0" borderId="0" xfId="0" applyFont="1" applyProtection="1"/>
    <xf numFmtId="0" fontId="0" fillId="0" borderId="9" xfId="0" applyFill="1" applyBorder="1" applyProtection="1"/>
    <xf numFmtId="167" fontId="0" fillId="0" borderId="0" xfId="0" applyNumberFormat="1" applyFill="1" applyBorder="1" applyAlignment="1" applyProtection="1">
      <alignment horizontal="center"/>
    </xf>
    <xf numFmtId="0" fontId="3" fillId="0" borderId="0" xfId="0" applyFont="1" applyFill="1" applyProtection="1"/>
    <xf numFmtId="0" fontId="0" fillId="0" borderId="12" xfId="0" applyFill="1" applyBorder="1" applyProtection="1"/>
    <xf numFmtId="0" fontId="1" fillId="6" borderId="0" xfId="0" applyFont="1" applyFill="1" applyProtection="1"/>
    <xf numFmtId="0" fontId="0" fillId="0" borderId="7" xfId="0" applyBorder="1" applyProtection="1"/>
    <xf numFmtId="0" fontId="0" fillId="0" borderId="10" xfId="0" applyBorder="1" applyProtection="1"/>
    <xf numFmtId="0" fontId="2" fillId="2" borderId="7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14" fillId="0" borderId="4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2" borderId="9" xfId="0" applyFill="1" applyBorder="1" applyProtection="1"/>
    <xf numFmtId="0" fontId="0" fillId="2" borderId="5" xfId="0" applyFill="1" applyBorder="1" applyProtection="1"/>
    <xf numFmtId="0" fontId="0" fillId="2" borderId="2" xfId="0" applyFill="1" applyBorder="1" applyProtection="1"/>
    <xf numFmtId="0" fontId="0" fillId="2" borderId="11" xfId="0" applyFill="1" applyBorder="1" applyProtection="1"/>
    <xf numFmtId="0" fontId="0" fillId="2" borderId="6" xfId="0" applyFill="1" applyBorder="1" applyProtection="1"/>
    <xf numFmtId="0" fontId="0" fillId="2" borderId="10" xfId="0" applyFill="1" applyBorder="1" applyProtection="1"/>
    <xf numFmtId="0" fontId="0" fillId="2" borderId="12" xfId="0" applyFill="1" applyBorder="1" applyProtection="1"/>
    <xf numFmtId="0" fontId="0" fillId="0" borderId="9" xfId="0" applyFill="1" applyBorder="1" applyAlignment="1" applyProtection="1">
      <alignment horizontal="left"/>
    </xf>
    <xf numFmtId="0" fontId="0" fillId="0" borderId="12" xfId="0" applyFill="1" applyBorder="1" applyAlignment="1" applyProtection="1">
      <alignment horizontal="left"/>
    </xf>
    <xf numFmtId="0" fontId="0" fillId="0" borderId="8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0" fillId="2" borderId="11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left" vertical="center"/>
    </xf>
    <xf numFmtId="164" fontId="0" fillId="0" borderId="4" xfId="0" applyNumberForma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 vertical="center"/>
    </xf>
    <xf numFmtId="164" fontId="0" fillId="0" borderId="5" xfId="0" applyNumberForma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left" vertical="center"/>
    </xf>
    <xf numFmtId="164" fontId="0" fillId="0" borderId="6" xfId="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0" borderId="8" xfId="0" applyFont="1" applyBorder="1" applyProtection="1"/>
    <xf numFmtId="0" fontId="2" fillId="6" borderId="0" xfId="0" applyFont="1" applyFill="1" applyProtection="1"/>
    <xf numFmtId="165" fontId="0" fillId="6" borderId="2" xfId="0" applyNumberFormat="1" applyFill="1" applyBorder="1" applyAlignment="1" applyProtection="1">
      <alignment horizontal="center" vertical="center"/>
    </xf>
    <xf numFmtId="166" fontId="0" fillId="6" borderId="2" xfId="0" applyNumberForma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vertical="center"/>
    </xf>
    <xf numFmtId="165" fontId="0" fillId="9" borderId="5" xfId="0" applyNumberFormat="1" applyFill="1" applyBorder="1" applyAlignment="1" applyProtection="1">
      <alignment horizontal="center"/>
    </xf>
    <xf numFmtId="165" fontId="0" fillId="9" borderId="6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0" fontId="9" fillId="6" borderId="0" xfId="0" applyFont="1" applyFill="1" applyProtection="1"/>
    <xf numFmtId="0" fontId="7" fillId="0" borderId="0" xfId="0" applyFont="1" applyProtection="1"/>
    <xf numFmtId="166" fontId="0" fillId="6" borderId="2" xfId="0" applyNumberForma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165" fontId="0" fillId="0" borderId="2" xfId="0" applyNumberFormat="1" applyFill="1" applyBorder="1" applyAlignment="1" applyProtection="1">
      <alignment horizontal="center"/>
    </xf>
    <xf numFmtId="49" fontId="0" fillId="0" borderId="2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2" fontId="0" fillId="9" borderId="5" xfId="0" applyNumberFormat="1" applyFill="1" applyBorder="1" applyAlignment="1" applyProtection="1">
      <alignment horizontal="center"/>
    </xf>
    <xf numFmtId="2" fontId="0" fillId="9" borderId="6" xfId="0" applyNumberFormat="1" applyFill="1" applyBorder="1" applyAlignment="1" applyProtection="1">
      <alignment horizontal="center"/>
    </xf>
    <xf numFmtId="1" fontId="0" fillId="0" borderId="2" xfId="0" applyNumberFormat="1" applyFill="1" applyBorder="1" applyAlignment="1" applyProtection="1">
      <alignment horizontal="center"/>
    </xf>
    <xf numFmtId="165" fontId="2" fillId="0" borderId="0" xfId="0" applyNumberFormat="1" applyFont="1" applyFill="1" applyBorder="1" applyAlignment="1" applyProtection="1">
      <alignment horizontal="center"/>
    </xf>
    <xf numFmtId="2" fontId="0" fillId="9" borderId="2" xfId="0" applyNumberFormat="1" applyFill="1" applyBorder="1" applyAlignment="1" applyProtection="1">
      <alignment horizontal="center"/>
    </xf>
    <xf numFmtId="1" fontId="0" fillId="9" borderId="5" xfId="0" applyNumberFormat="1" applyFill="1" applyBorder="1" applyAlignment="1" applyProtection="1">
      <alignment horizontal="center"/>
    </xf>
    <xf numFmtId="1" fontId="0" fillId="9" borderId="2" xfId="0" applyNumberFormat="1" applyFill="1" applyBorder="1" applyAlignment="1" applyProtection="1">
      <alignment horizontal="center"/>
    </xf>
    <xf numFmtId="2" fontId="0" fillId="9" borderId="10" xfId="0" applyNumberFormat="1" applyFill="1" applyBorder="1" applyAlignment="1" applyProtection="1">
      <alignment horizontal="center"/>
    </xf>
    <xf numFmtId="1" fontId="0" fillId="9" borderId="6" xfId="0" applyNumberFormat="1" applyFill="1" applyBorder="1" applyAlignment="1" applyProtection="1">
      <alignment horizontal="center"/>
    </xf>
    <xf numFmtId="1" fontId="0" fillId="9" borderId="10" xfId="0" applyNumberFormat="1" applyFill="1" applyBorder="1" applyAlignment="1" applyProtection="1">
      <alignment horizontal="center"/>
    </xf>
    <xf numFmtId="49" fontId="0" fillId="0" borderId="0" xfId="0" applyNumberForma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64" fontId="0" fillId="0" borderId="2" xfId="0" applyNumberFormat="1" applyFill="1" applyBorder="1" applyAlignment="1" applyProtection="1">
      <alignment horizontal="center"/>
    </xf>
    <xf numFmtId="164" fontId="0" fillId="9" borderId="2" xfId="0" applyNumberFormat="1" applyFill="1" applyBorder="1" applyAlignment="1" applyProtection="1">
      <alignment horizontal="center"/>
    </xf>
    <xf numFmtId="164" fontId="0" fillId="9" borderId="10" xfId="0" applyNumberFormat="1" applyFill="1" applyBorder="1" applyAlignment="1" applyProtection="1">
      <alignment horizontal="center"/>
    </xf>
    <xf numFmtId="0" fontId="0" fillId="9" borderId="8" xfId="0" applyFill="1" applyBorder="1" applyProtection="1"/>
    <xf numFmtId="0" fontId="0" fillId="9" borderId="9" xfId="0" applyFill="1" applyBorder="1" applyProtection="1"/>
    <xf numFmtId="0" fontId="0" fillId="9" borderId="0" xfId="0" applyFill="1" applyBorder="1" applyProtection="1"/>
    <xf numFmtId="0" fontId="0" fillId="9" borderId="11" xfId="0" applyFill="1" applyBorder="1" applyProtection="1"/>
    <xf numFmtId="0" fontId="0" fillId="9" borderId="3" xfId="0" applyFill="1" applyBorder="1" applyProtection="1"/>
    <xf numFmtId="0" fontId="0" fillId="9" borderId="12" xfId="0" applyFill="1" applyBorder="1" applyProtection="1"/>
    <xf numFmtId="0" fontId="0" fillId="0" borderId="11" xfId="0" applyFill="1" applyBorder="1" applyProtection="1"/>
    <xf numFmtId="0" fontId="9" fillId="0" borderId="0" xfId="0" applyFont="1" applyBorder="1" applyProtection="1"/>
    <xf numFmtId="9" fontId="2" fillId="0" borderId="3" xfId="0" applyNumberFormat="1" applyFont="1" applyBorder="1" applyAlignment="1" applyProtection="1">
      <alignment horizontal="left"/>
    </xf>
    <xf numFmtId="9" fontId="2" fillId="0" borderId="0" xfId="0" applyNumberFormat="1" applyFont="1" applyBorder="1" applyAlignment="1" applyProtection="1">
      <alignment horizontal="left"/>
    </xf>
    <xf numFmtId="165" fontId="2" fillId="0" borderId="2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9" fontId="2" fillId="0" borderId="0" xfId="0" applyNumberFormat="1" applyFont="1" applyAlignment="1" applyProtection="1">
      <alignment horizontal="left"/>
    </xf>
    <xf numFmtId="0" fontId="1" fillId="6" borderId="0" xfId="0" applyFont="1" applyFill="1" applyAlignment="1" applyProtection="1">
      <alignment vertical="center"/>
    </xf>
    <xf numFmtId="165" fontId="2" fillId="0" borderId="4" xfId="0" applyNumberFormat="1" applyFont="1" applyFill="1" applyBorder="1" applyAlignment="1" applyProtection="1">
      <alignment horizontal="center"/>
    </xf>
    <xf numFmtId="2" fontId="2" fillId="6" borderId="4" xfId="0" applyNumberFormat="1" applyFont="1" applyFill="1" applyBorder="1" applyAlignment="1" applyProtection="1">
      <alignment horizontal="center"/>
    </xf>
    <xf numFmtId="165" fontId="2" fillId="0" borderId="5" xfId="0" applyNumberFormat="1" applyFont="1" applyFill="1" applyBorder="1" applyAlignment="1" applyProtection="1">
      <alignment horizontal="center"/>
    </xf>
    <xf numFmtId="2" fontId="2" fillId="6" borderId="5" xfId="0" applyNumberFormat="1" applyFont="1" applyFill="1" applyBorder="1" applyAlignment="1" applyProtection="1">
      <alignment horizontal="center"/>
    </xf>
    <xf numFmtId="165" fontId="2" fillId="0" borderId="6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0" fontId="2" fillId="0" borderId="9" xfId="0" applyFont="1" applyBorder="1" applyProtection="1"/>
    <xf numFmtId="1" fontId="0" fillId="0" borderId="4" xfId="0" applyNumberFormat="1" applyFill="1" applyBorder="1" applyAlignment="1" applyProtection="1">
      <alignment horizontal="center"/>
    </xf>
    <xf numFmtId="1" fontId="0" fillId="0" borderId="5" xfId="0" applyNumberFormat="1" applyFill="1" applyBorder="1" applyAlignment="1" applyProtection="1">
      <alignment horizontal="center"/>
    </xf>
    <xf numFmtId="1" fontId="0" fillId="0" borderId="6" xfId="0" applyNumberForma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8" fillId="0" borderId="0" xfId="0" applyFont="1" applyBorder="1" applyProtection="1"/>
    <xf numFmtId="0" fontId="0" fillId="0" borderId="12" xfId="0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3" fillId="4" borderId="0" xfId="0" applyFont="1" applyFill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10" fillId="2" borderId="3" xfId="0" applyFont="1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vertical="center"/>
    </xf>
    <xf numFmtId="0" fontId="0" fillId="0" borderId="7" xfId="0" applyFont="1" applyFill="1" applyBorder="1" applyAlignment="1" applyProtection="1">
      <alignment vertical="center"/>
    </xf>
    <xf numFmtId="9" fontId="2" fillId="0" borderId="3" xfId="0" applyNumberFormat="1" applyFont="1" applyBorder="1" applyAlignment="1" applyProtection="1">
      <alignment horizontal="left" vertical="center"/>
    </xf>
    <xf numFmtId="0" fontId="0" fillId="2" borderId="1" xfId="0" applyFill="1" applyBorder="1" applyAlignment="1" applyProtection="1">
      <alignment horizontal="center" vertical="center"/>
    </xf>
    <xf numFmtId="0" fontId="7" fillId="0" borderId="0" xfId="0" applyFont="1" applyFill="1" applyBorder="1" applyProtection="1"/>
    <xf numFmtId="165" fontId="9" fillId="0" borderId="0" xfId="0" applyNumberFormat="1" applyFont="1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 vertical="center"/>
    </xf>
    <xf numFmtId="1" fontId="0" fillId="3" borderId="4" xfId="0" applyNumberFormat="1" applyFill="1" applyBorder="1" applyAlignment="1" applyProtection="1">
      <alignment horizontal="center" vertical="center"/>
      <protection locked="0"/>
    </xf>
    <xf numFmtId="164" fontId="0" fillId="3" borderId="4" xfId="0" applyNumberFormat="1" applyFill="1" applyBorder="1" applyAlignment="1" applyProtection="1">
      <alignment horizontal="center" vertical="center"/>
      <protection locked="0"/>
    </xf>
    <xf numFmtId="165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165" fontId="2" fillId="0" borderId="4" xfId="0" applyNumberFormat="1" applyFont="1" applyFill="1" applyBorder="1" applyAlignment="1" applyProtection="1">
      <alignment horizontal="center" vertical="center"/>
    </xf>
    <xf numFmtId="165" fontId="0" fillId="0" borderId="4" xfId="0" applyNumberFormat="1" applyFill="1" applyBorder="1" applyAlignment="1" applyProtection="1">
      <alignment horizontal="center" vertical="center"/>
    </xf>
    <xf numFmtId="2" fontId="2" fillId="6" borderId="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1" fontId="0" fillId="3" borderId="5" xfId="0" applyNumberFormat="1" applyFill="1" applyBorder="1" applyAlignment="1" applyProtection="1">
      <alignment horizontal="center" vertical="center"/>
      <protection locked="0"/>
    </xf>
    <xf numFmtId="164" fontId="0" fillId="3" borderId="5" xfId="0" applyNumberFormat="1" applyFill="1" applyBorder="1" applyAlignment="1" applyProtection="1">
      <alignment horizontal="center" vertical="center"/>
      <protection locked="0"/>
    </xf>
    <xf numFmtId="165" fontId="0" fillId="3" borderId="5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 applyProtection="1">
      <alignment horizontal="center" vertical="center"/>
    </xf>
    <xf numFmtId="165" fontId="0" fillId="0" borderId="5" xfId="0" applyNumberFormat="1" applyFill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164" fontId="0" fillId="3" borderId="6" xfId="0" applyNumberFormat="1" applyFill="1" applyBorder="1" applyAlignment="1" applyProtection="1">
      <alignment horizontal="center" vertical="center"/>
      <protection locked="0"/>
    </xf>
    <xf numFmtId="165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65" fontId="2" fillId="0" borderId="6" xfId="0" applyNumberFormat="1" applyFont="1" applyFill="1" applyBorder="1" applyAlignment="1" applyProtection="1">
      <alignment horizontal="center" vertical="center"/>
    </xf>
    <xf numFmtId="165" fontId="0" fillId="0" borderId="6" xfId="0" applyNumberFormat="1" applyFill="1" applyBorder="1" applyAlignment="1" applyProtection="1">
      <alignment horizontal="center" vertical="center"/>
    </xf>
    <xf numFmtId="2" fontId="2" fillId="6" borderId="6" xfId="0" applyNumberFormat="1" applyFont="1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/>
      <protection locked="0"/>
    </xf>
    <xf numFmtId="2" fontId="0" fillId="5" borderId="4" xfId="0" applyNumberFormat="1" applyFill="1" applyBorder="1" applyAlignment="1" applyProtection="1">
      <alignment horizontal="center"/>
    </xf>
    <xf numFmtId="2" fontId="0" fillId="5" borderId="5" xfId="0" applyNumberFormat="1" applyFill="1" applyBorder="1" applyAlignment="1" applyProtection="1">
      <alignment horizontal="center"/>
    </xf>
    <xf numFmtId="2" fontId="0" fillId="5" borderId="6" xfId="0" applyNumberFormat="1" applyFill="1" applyBorder="1" applyAlignment="1" applyProtection="1">
      <alignment horizontal="center"/>
    </xf>
    <xf numFmtId="0" fontId="0" fillId="0" borderId="0" xfId="0" applyFill="1" applyBorder="1"/>
    <xf numFmtId="0" fontId="1" fillId="0" borderId="0" xfId="0" applyFont="1" applyProtection="1"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9" borderId="10" xfId="0" applyFont="1" applyFill="1" applyBorder="1" applyAlignment="1" applyProtection="1">
      <alignment horizontal="left"/>
    </xf>
    <xf numFmtId="0" fontId="0" fillId="9" borderId="3" xfId="0" applyFont="1" applyFill="1" applyBorder="1" applyAlignment="1" applyProtection="1">
      <alignment horizontal="left"/>
    </xf>
    <xf numFmtId="0" fontId="0" fillId="5" borderId="4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Border="1" applyProtection="1">
      <protection hidden="1"/>
    </xf>
    <xf numFmtId="0" fontId="1" fillId="0" borderId="0" xfId="0" applyFont="1" applyFill="1" applyProtection="1">
      <protection hidden="1"/>
    </xf>
    <xf numFmtId="0" fontId="18" fillId="10" borderId="13" xfId="0" applyFont="1" applyFill="1" applyBorder="1" applyAlignment="1">
      <alignment horizontal="center"/>
    </xf>
    <xf numFmtId="0" fontId="18" fillId="10" borderId="15" xfId="0" applyFont="1" applyFill="1" applyBorder="1" applyAlignment="1">
      <alignment horizontal="center"/>
    </xf>
    <xf numFmtId="0" fontId="19" fillId="11" borderId="7" xfId="0" applyFont="1" applyFill="1" applyBorder="1" applyAlignment="1">
      <alignment horizontal="center"/>
    </xf>
    <xf numFmtId="0" fontId="19" fillId="11" borderId="8" xfId="0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19" fillId="11" borderId="0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2" fontId="1" fillId="11" borderId="2" xfId="0" applyNumberFormat="1" applyFont="1" applyFill="1" applyBorder="1" applyAlignment="1">
      <alignment horizontal="center"/>
    </xf>
    <xf numFmtId="2" fontId="1" fillId="11" borderId="0" xfId="0" applyNumberFormat="1" applyFont="1" applyFill="1" applyBorder="1" applyAlignment="1">
      <alignment horizontal="center"/>
    </xf>
    <xf numFmtId="2" fontId="1" fillId="11" borderId="11" xfId="0" applyNumberFormat="1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165" fontId="0" fillId="0" borderId="7" xfId="0" applyNumberFormat="1" applyFont="1" applyBorder="1" applyAlignment="1">
      <alignment horizontal="center"/>
    </xf>
    <xf numFmtId="165" fontId="0" fillId="0" borderId="8" xfId="0" applyNumberFormat="1" applyFont="1" applyBorder="1" applyAlignment="1">
      <alignment horizontal="center"/>
    </xf>
    <xf numFmtId="165" fontId="0" fillId="0" borderId="9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5" fontId="0" fillId="0" borderId="2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5" fontId="0" fillId="0" borderId="11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65" fontId="0" fillId="0" borderId="10" xfId="0" applyNumberFormat="1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65" fontId="0" fillId="0" borderId="12" xfId="0" applyNumberFormat="1" applyFont="1" applyBorder="1" applyAlignment="1">
      <alignment horizontal="center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0" fillId="6" borderId="10" xfId="0" applyFill="1" applyBorder="1" applyAlignment="1" applyProtection="1">
      <alignment horizontal="center"/>
      <protection hidden="1"/>
    </xf>
    <xf numFmtId="0" fontId="0" fillId="6" borderId="12" xfId="0" applyFill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0" fontId="0" fillId="7" borderId="11" xfId="0" applyFill="1" applyBorder="1" applyAlignment="1" applyProtection="1">
      <alignment horizontal="center"/>
      <protection hidden="1"/>
    </xf>
    <xf numFmtId="0" fontId="0" fillId="7" borderId="12" xfId="0" applyFill="1" applyBorder="1" applyAlignment="1" applyProtection="1">
      <alignment horizontal="center"/>
      <protection hidden="1"/>
    </xf>
    <xf numFmtId="165" fontId="0" fillId="0" borderId="0" xfId="0" applyNumberFormat="1" applyFont="1" applyFill="1" applyBorder="1" applyAlignment="1">
      <alignment horizontal="center"/>
    </xf>
    <xf numFmtId="0" fontId="0" fillId="0" borderId="7" xfId="0" applyBorder="1" applyProtection="1">
      <protection hidden="1"/>
    </xf>
    <xf numFmtId="0" fontId="0" fillId="0" borderId="2" xfId="0" applyBorder="1" applyProtection="1">
      <protection hidden="1"/>
    </xf>
    <xf numFmtId="165" fontId="0" fillId="0" borderId="8" xfId="0" applyNumberFormat="1" applyBorder="1" applyAlignment="1" applyProtection="1">
      <alignment horizontal="center"/>
      <protection hidden="1"/>
    </xf>
    <xf numFmtId="0" fontId="0" fillId="7" borderId="9" xfId="0" applyFill="1" applyBorder="1" applyAlignment="1" applyProtection="1">
      <alignment horizontal="center"/>
      <protection hidden="1"/>
    </xf>
    <xf numFmtId="165" fontId="0" fillId="0" borderId="9" xfId="0" applyNumberFormat="1" applyBorder="1" applyAlignment="1" applyProtection="1">
      <alignment horizontal="center"/>
      <protection hidden="1"/>
    </xf>
    <xf numFmtId="165" fontId="0" fillId="0" borderId="5" xfId="0" applyNumberFormat="1" applyBorder="1" applyAlignment="1" applyProtection="1">
      <alignment horizontal="center"/>
      <protection hidden="1"/>
    </xf>
    <xf numFmtId="165" fontId="0" fillId="0" borderId="2" xfId="0" applyNumberFormat="1" applyBorder="1" applyAlignment="1" applyProtection="1">
      <alignment horizontal="center"/>
      <protection hidden="1"/>
    </xf>
    <xf numFmtId="0" fontId="0" fillId="4" borderId="0" xfId="0" applyFill="1" applyBorder="1" applyProtection="1">
      <protection hidden="1"/>
    </xf>
    <xf numFmtId="165" fontId="0" fillId="7" borderId="11" xfId="0" applyNumberFormat="1" applyFill="1" applyBorder="1" applyAlignment="1" applyProtection="1">
      <alignment horizontal="center"/>
      <protection hidden="1"/>
    </xf>
    <xf numFmtId="0" fontId="0" fillId="7" borderId="4" xfId="0" applyFill="1" applyBorder="1" applyAlignment="1" applyProtection="1">
      <alignment horizontal="center"/>
      <protection hidden="1"/>
    </xf>
    <xf numFmtId="0" fontId="0" fillId="7" borderId="5" xfId="0" applyFill="1" applyBorder="1" applyAlignment="1" applyProtection="1">
      <alignment horizontal="center"/>
      <protection hidden="1"/>
    </xf>
    <xf numFmtId="0" fontId="0" fillId="7" borderId="6" xfId="0" applyFill="1" applyBorder="1" applyAlignment="1" applyProtection="1">
      <alignment horizontal="center"/>
      <protection hidden="1"/>
    </xf>
    <xf numFmtId="165" fontId="0" fillId="7" borderId="5" xfId="0" applyNumberFormat="1" applyFill="1" applyBorder="1" applyAlignment="1" applyProtection="1">
      <alignment horizontal="center"/>
      <protection hidden="1"/>
    </xf>
    <xf numFmtId="165" fontId="0" fillId="0" borderId="11" xfId="0" applyNumberFormat="1" applyBorder="1" applyAlignment="1" applyProtection="1">
      <alignment horizontal="center"/>
      <protection hidden="1"/>
    </xf>
    <xf numFmtId="165" fontId="0" fillId="0" borderId="12" xfId="0" applyNumberForma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166" fontId="0" fillId="0" borderId="0" xfId="0" applyNumberFormat="1" applyFill="1" applyProtection="1"/>
    <xf numFmtId="0" fontId="0" fillId="11" borderId="4" xfId="0" applyFill="1" applyBorder="1" applyAlignment="1" applyProtection="1">
      <alignment horizontal="center"/>
    </xf>
    <xf numFmtId="0" fontId="0" fillId="0" borderId="0" xfId="0" applyFont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center"/>
      <protection hidden="1"/>
    </xf>
    <xf numFmtId="0" fontId="0" fillId="11" borderId="4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11" borderId="4" xfId="0" applyFill="1" applyBorder="1" applyProtection="1">
      <protection hidden="1"/>
    </xf>
    <xf numFmtId="0" fontId="0" fillId="11" borderId="6" xfId="0" applyFill="1" applyBorder="1" applyAlignment="1" applyProtection="1">
      <alignment horizontal="center"/>
      <protection hidden="1"/>
    </xf>
    <xf numFmtId="0" fontId="0" fillId="11" borderId="6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hidden="1"/>
    </xf>
    <xf numFmtId="0" fontId="0" fillId="0" borderId="4" xfId="0" applyNumberFormat="1" applyFill="1" applyBorder="1" applyAlignment="1" applyProtection="1">
      <alignment horizontal="center"/>
      <protection locked="0"/>
    </xf>
    <xf numFmtId="2" fontId="0" fillId="6" borderId="4" xfId="0" applyNumberFormat="1" applyFill="1" applyBorder="1" applyAlignment="1" applyProtection="1">
      <alignment horizontal="center"/>
    </xf>
    <xf numFmtId="2" fontId="0" fillId="6" borderId="5" xfId="0" applyNumberFormat="1" applyFill="1" applyBorder="1" applyAlignment="1" applyProtection="1">
      <alignment horizontal="center"/>
    </xf>
    <xf numFmtId="2" fontId="0" fillId="6" borderId="6" xfId="0" applyNumberFormat="1" applyFill="1" applyBorder="1" applyAlignment="1" applyProtection="1">
      <alignment horizontal="center"/>
    </xf>
    <xf numFmtId="0" fontId="0" fillId="0" borderId="12" xfId="0" applyBorder="1"/>
    <xf numFmtId="0" fontId="0" fillId="2" borderId="6" xfId="0" applyFill="1" applyBorder="1"/>
    <xf numFmtId="0" fontId="0" fillId="2" borderId="5" xfId="0" applyFill="1" applyBorder="1"/>
    <xf numFmtId="49" fontId="0" fillId="0" borderId="5" xfId="0" applyNumberFormat="1" applyFill="1" applyBorder="1" applyAlignment="1" applyProtection="1">
      <alignment horizontal="center"/>
    </xf>
    <xf numFmtId="0" fontId="0" fillId="0" borderId="9" xfId="0" applyBorder="1"/>
    <xf numFmtId="164" fontId="0" fillId="6" borderId="4" xfId="0" applyNumberFormat="1" applyFill="1" applyBorder="1" applyAlignment="1" applyProtection="1">
      <alignment horizontal="center"/>
    </xf>
    <xf numFmtId="164" fontId="0" fillId="6" borderId="5" xfId="0" applyNumberFormat="1" applyFill="1" applyBorder="1" applyAlignment="1" applyProtection="1">
      <alignment horizontal="center"/>
    </xf>
    <xf numFmtId="164" fontId="0" fillId="6" borderId="6" xfId="0" applyNumberForma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Fill="1" applyBorder="1" applyAlignment="1" applyProtection="1">
      <alignment horizontal="center"/>
      <protection locked="0"/>
    </xf>
    <xf numFmtId="0" fontId="17" fillId="10" borderId="0" xfId="0" applyFont="1" applyFill="1" applyProtection="1">
      <protection hidden="1"/>
    </xf>
    <xf numFmtId="0" fontId="0" fillId="0" borderId="0" xfId="0" applyNumberFormat="1" applyBorder="1" applyProtection="1">
      <protection hidden="1"/>
    </xf>
    <xf numFmtId="164" fontId="0" fillId="0" borderId="0" xfId="0" applyNumberFormat="1" applyFill="1" applyBorder="1" applyProtection="1"/>
    <xf numFmtId="0" fontId="0" fillId="4" borderId="0" xfId="0" applyNumberFormat="1" applyFill="1" applyBorder="1" applyProtection="1"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1" fillId="4" borderId="0" xfId="0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0" fillId="0" borderId="0" xfId="0" applyFont="1" applyFill="1" applyProtection="1"/>
    <xf numFmtId="0" fontId="16" fillId="4" borderId="15" xfId="0" applyFont="1" applyFill="1" applyBorder="1" applyProtection="1"/>
    <xf numFmtId="0" fontId="1" fillId="9" borderId="3" xfId="0" applyFont="1" applyFill="1" applyBorder="1" applyProtection="1"/>
    <xf numFmtId="0" fontId="1" fillId="9" borderId="3" xfId="0" applyFont="1" applyFill="1" applyBorder="1" applyAlignment="1" applyProtection="1">
      <alignment horizontal="left"/>
    </xf>
    <xf numFmtId="0" fontId="1" fillId="9" borderId="9" xfId="0" applyFont="1" applyFill="1" applyBorder="1" applyAlignment="1" applyProtection="1">
      <alignment horizontal="left"/>
    </xf>
    <xf numFmtId="0" fontId="1" fillId="9" borderId="11" xfId="0" applyFont="1" applyFill="1" applyBorder="1" applyAlignment="1" applyProtection="1">
      <alignment horizontal="left"/>
    </xf>
    <xf numFmtId="0" fontId="1" fillId="9" borderId="12" xfId="0" applyFont="1" applyFill="1" applyBorder="1" applyAlignment="1" applyProtection="1">
      <alignment horizontal="left"/>
    </xf>
    <xf numFmtId="0" fontId="20" fillId="0" borderId="4" xfId="0" applyFont="1" applyBorder="1" applyAlignment="1" applyProtection="1">
      <alignment horizontal="center"/>
    </xf>
    <xf numFmtId="0" fontId="20" fillId="0" borderId="5" xfId="0" applyFont="1" applyBorder="1" applyAlignment="1" applyProtection="1">
      <alignment horizontal="center"/>
    </xf>
    <xf numFmtId="0" fontId="20" fillId="0" borderId="6" xfId="0" applyFont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/>
    <xf numFmtId="0" fontId="0" fillId="0" borderId="1" xfId="0" applyBorder="1" applyAlignment="1" applyProtection="1">
      <alignment horizontal="left"/>
    </xf>
    <xf numFmtId="0" fontId="0" fillId="3" borderId="1" xfId="0" applyFill="1" applyBorder="1" applyProtection="1"/>
    <xf numFmtId="0" fontId="0" fillId="6" borderId="1" xfId="0" applyFill="1" applyBorder="1" applyProtection="1"/>
    <xf numFmtId="0" fontId="0" fillId="5" borderId="1" xfId="0" applyFill="1" applyBorder="1" applyProtection="1"/>
    <xf numFmtId="0" fontId="0" fillId="7" borderId="1" xfId="0" applyFill="1" applyBorder="1" applyProtection="1"/>
    <xf numFmtId="0" fontId="0" fillId="0" borderId="13" xfId="0" applyFont="1" applyFill="1" applyBorder="1" applyProtection="1"/>
    <xf numFmtId="0" fontId="0" fillId="0" borderId="15" xfId="0" applyBorder="1" applyAlignment="1" applyProtection="1">
      <alignment horizontal="left"/>
    </xf>
    <xf numFmtId="0" fontId="15" fillId="0" borderId="15" xfId="1" applyFill="1" applyBorder="1" applyProtection="1"/>
    <xf numFmtId="0" fontId="1" fillId="0" borderId="15" xfId="0" applyFont="1" applyFill="1" applyBorder="1" applyProtection="1"/>
    <xf numFmtId="0" fontId="0" fillId="0" borderId="15" xfId="0" applyFont="1" applyFill="1" applyBorder="1" applyProtection="1"/>
    <xf numFmtId="0" fontId="15" fillId="0" borderId="13" xfId="1" applyFill="1" applyBorder="1" applyProtection="1"/>
    <xf numFmtId="0" fontId="0" fillId="0" borderId="13" xfId="0" applyBorder="1" applyProtection="1"/>
    <xf numFmtId="0" fontId="0" fillId="0" borderId="15" xfId="0" applyBorder="1" applyProtection="1"/>
    <xf numFmtId="0" fontId="0" fillId="0" borderId="14" xfId="0" applyBorder="1" applyProtection="1"/>
    <xf numFmtId="0" fontId="1" fillId="4" borderId="15" xfId="0" applyFont="1" applyFill="1" applyBorder="1" applyProtection="1"/>
    <xf numFmtId="0" fontId="17" fillId="10" borderId="15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7" fillId="10" borderId="3" xfId="0" applyFon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vertical="center"/>
    </xf>
    <xf numFmtId="0" fontId="0" fillId="2" borderId="14" xfId="0" applyFill="1" applyBorder="1" applyProtection="1"/>
    <xf numFmtId="0" fontId="0" fillId="2" borderId="13" xfId="0" applyFill="1" applyBorder="1" applyProtection="1"/>
    <xf numFmtId="0" fontId="0" fillId="2" borderId="15" xfId="0" applyFill="1" applyBorder="1" applyProtection="1"/>
    <xf numFmtId="0" fontId="0" fillId="0" borderId="1" xfId="0" applyBorder="1" applyAlignment="1" applyProtection="1">
      <alignment horizontal="right" vertical="center"/>
    </xf>
    <xf numFmtId="0" fontId="0" fillId="0" borderId="10" xfId="0" applyFill="1" applyBorder="1" applyProtection="1">
      <protection locked="0"/>
    </xf>
    <xf numFmtId="0" fontId="1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4" fontId="0" fillId="0" borderId="4" xfId="0" applyNumberFormat="1" applyFont="1" applyBorder="1" applyAlignment="1" applyProtection="1">
      <alignment horizontal="center"/>
    </xf>
    <xf numFmtId="164" fontId="0" fillId="0" borderId="5" xfId="0" applyNumberFormat="1" applyFont="1" applyBorder="1" applyAlignment="1" applyProtection="1">
      <alignment horizontal="center"/>
    </xf>
    <xf numFmtId="164" fontId="0" fillId="0" borderId="6" xfId="0" applyNumberFormat="1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164" fontId="0" fillId="0" borderId="0" xfId="0" applyNumberFormat="1" applyFont="1" applyAlignment="1" applyProtection="1">
      <alignment horizontal="center"/>
    </xf>
    <xf numFmtId="0" fontId="0" fillId="2" borderId="15" xfId="0" applyFill="1" applyBorder="1" applyAlignment="1" applyProtection="1"/>
    <xf numFmtId="0" fontId="0" fillId="2" borderId="13" xfId="0" applyFill="1" applyBorder="1" applyAlignme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7" fillId="10" borderId="0" xfId="0" applyFont="1" applyFill="1" applyAlignment="1" applyProtection="1">
      <alignment horizontal="center"/>
      <protection hidden="1"/>
    </xf>
    <xf numFmtId="0" fontId="17" fillId="10" borderId="0" xfId="0" applyFont="1" applyFill="1" applyBorder="1" applyProtection="1">
      <protection hidden="1"/>
    </xf>
    <xf numFmtId="49" fontId="17" fillId="10" borderId="2" xfId="0" applyNumberFormat="1" applyFont="1" applyFill="1" applyBorder="1" applyAlignment="1" applyProtection="1">
      <alignment horizontal="center"/>
      <protection hidden="1"/>
    </xf>
    <xf numFmtId="49" fontId="17" fillId="10" borderId="0" xfId="0" applyNumberFormat="1" applyFont="1" applyFill="1" applyBorder="1" applyAlignment="1" applyProtection="1">
      <alignment horizontal="center"/>
      <protection hidden="1"/>
    </xf>
    <xf numFmtId="0" fontId="17" fillId="10" borderId="0" xfId="0" applyNumberFormat="1" applyFont="1" applyFill="1" applyBorder="1" applyAlignment="1" applyProtection="1">
      <alignment horizontal="center"/>
      <protection hidden="1"/>
    </xf>
    <xf numFmtId="0" fontId="17" fillId="10" borderId="2" xfId="0" applyFon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165" fontId="0" fillId="3" borderId="4" xfId="0" applyNumberFormat="1" applyFill="1" applyBorder="1" applyAlignment="1" applyProtection="1">
      <alignment horizontal="center"/>
      <protection locked="0"/>
    </xf>
    <xf numFmtId="165" fontId="0" fillId="3" borderId="5" xfId="0" applyNumberFormat="1" applyFill="1" applyBorder="1" applyAlignment="1" applyProtection="1">
      <alignment horizontal="center"/>
      <protection locked="0"/>
    </xf>
    <xf numFmtId="165" fontId="0" fillId="3" borderId="6" xfId="0" applyNumberFormat="1" applyFill="1" applyBorder="1" applyAlignment="1" applyProtection="1">
      <alignment horizontal="center"/>
      <protection locked="0"/>
    </xf>
    <xf numFmtId="165" fontId="0" fillId="7" borderId="4" xfId="0" applyNumberFormat="1" applyFill="1" applyBorder="1" applyAlignment="1" applyProtection="1">
      <alignment horizontal="center"/>
      <protection hidden="1"/>
    </xf>
    <xf numFmtId="165" fontId="0" fillId="7" borderId="6" xfId="0" applyNumberFormat="1" applyFill="1" applyBorder="1" applyAlignment="1" applyProtection="1">
      <alignment horizontal="center"/>
      <protection hidden="1"/>
    </xf>
    <xf numFmtId="0" fontId="0" fillId="0" borderId="5" xfId="0" applyNumberFormat="1" applyFill="1" applyBorder="1" applyAlignment="1" applyProtection="1">
      <alignment horizontal="center"/>
      <protection locked="0"/>
    </xf>
    <xf numFmtId="0" fontId="0" fillId="0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 vertical="center"/>
    </xf>
    <xf numFmtId="0" fontId="1" fillId="4" borderId="13" xfId="0" applyFont="1" applyFill="1" applyBorder="1" applyProtection="1"/>
    <xf numFmtId="0" fontId="0" fillId="6" borderId="1" xfId="0" applyFill="1" applyBorder="1" applyAlignment="1" applyProtection="1">
      <alignment horizontal="center"/>
    </xf>
    <xf numFmtId="0" fontId="0" fillId="6" borderId="13" xfId="0" applyFill="1" applyBorder="1" applyProtection="1"/>
    <xf numFmtId="0" fontId="0" fillId="6" borderId="15" xfId="0" applyFill="1" applyBorder="1" applyProtection="1"/>
    <xf numFmtId="0" fontId="0" fillId="6" borderId="14" xfId="0" applyFill="1" applyBorder="1" applyProtection="1"/>
    <xf numFmtId="0" fontId="1" fillId="6" borderId="0" xfId="0" applyFont="1" applyFill="1" applyAlignment="1" applyProtection="1">
      <alignment horizontal="right"/>
    </xf>
    <xf numFmtId="0" fontId="0" fillId="0" borderId="1" xfId="0" applyFill="1" applyBorder="1" applyAlignment="1" applyProtection="1">
      <alignment horizontal="left" vertical="center"/>
    </xf>
    <xf numFmtId="0" fontId="22" fillId="2" borderId="5" xfId="0" applyFont="1" applyFill="1" applyBorder="1" applyAlignment="1" applyProtection="1">
      <alignment horizontal="center"/>
    </xf>
    <xf numFmtId="0" fontId="23" fillId="2" borderId="5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left"/>
    </xf>
    <xf numFmtId="0" fontId="22" fillId="2" borderId="6" xfId="0" applyFont="1" applyFill="1" applyBorder="1" applyAlignment="1" applyProtection="1">
      <alignment horizontal="center"/>
    </xf>
    <xf numFmtId="0" fontId="22" fillId="0" borderId="0" xfId="0" applyFont="1" applyBorder="1" applyAlignment="1" applyProtection="1">
      <alignment horizontal="right"/>
    </xf>
    <xf numFmtId="0" fontId="0" fillId="0" borderId="8" xfId="0" applyBorder="1" applyAlignment="1" applyProtection="1">
      <alignment horizontal="right"/>
    </xf>
    <xf numFmtId="0" fontId="22" fillId="2" borderId="4" xfId="0" applyFont="1" applyFill="1" applyBorder="1" applyAlignment="1" applyProtection="1">
      <alignment horizontal="center"/>
    </xf>
    <xf numFmtId="0" fontId="23" fillId="2" borderId="4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0" fillId="3" borderId="3" xfId="0" applyFill="1" applyBorder="1" applyProtection="1">
      <protection locked="0"/>
    </xf>
    <xf numFmtId="165" fontId="0" fillId="6" borderId="0" xfId="0" applyNumberFormat="1" applyFill="1" applyBorder="1" applyAlignment="1" applyProtection="1">
      <alignment horizontal="center"/>
    </xf>
    <xf numFmtId="166" fontId="0" fillId="6" borderId="0" xfId="0" applyNumberFormat="1" applyFill="1" applyBorder="1" applyAlignment="1" applyProtection="1">
      <alignment horizontal="center"/>
    </xf>
    <xf numFmtId="0" fontId="0" fillId="0" borderId="11" xfId="0" applyBorder="1" applyAlignment="1" applyProtection="1">
      <alignment horizontal="left" vertical="center"/>
    </xf>
    <xf numFmtId="0" fontId="0" fillId="0" borderId="11" xfId="0" applyFill="1" applyBorder="1" applyAlignment="1" applyProtection="1">
      <alignment horizontal="left" vertical="center"/>
    </xf>
    <xf numFmtId="165" fontId="0" fillId="6" borderId="0" xfId="0" applyNumberFormat="1" applyFill="1" applyBorder="1" applyAlignment="1" applyProtection="1">
      <alignment horizontal="center" vertical="center"/>
    </xf>
    <xf numFmtId="166" fontId="0" fillId="6" borderId="0" xfId="0" applyNumberFormat="1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</xf>
    <xf numFmtId="0" fontId="22" fillId="0" borderId="3" xfId="0" applyFont="1" applyBorder="1" applyAlignment="1" applyProtection="1">
      <alignment horizontal="left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</xf>
    <xf numFmtId="0" fontId="0" fillId="3" borderId="2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0" borderId="8" xfId="0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0" xfId="0" applyFont="1" applyFill="1" applyBorder="1" applyAlignment="1" applyProtection="1">
      <alignment vertical="center"/>
    </xf>
    <xf numFmtId="0" fontId="8" fillId="0" borderId="3" xfId="0" applyFont="1" applyFill="1" applyBorder="1" applyProtection="1"/>
    <xf numFmtId="0" fontId="8" fillId="0" borderId="0" xfId="0" applyFont="1" applyProtection="1"/>
    <xf numFmtId="0" fontId="26" fillId="0" borderId="0" xfId="0" applyFont="1" applyFill="1" applyBorder="1" applyAlignment="1" applyProtection="1">
      <alignment horizontal="left"/>
    </xf>
    <xf numFmtId="0" fontId="0" fillId="8" borderId="4" xfId="0" applyNumberFormat="1" applyFill="1" applyBorder="1" applyAlignment="1" applyProtection="1">
      <alignment horizontal="center"/>
      <protection locked="0"/>
    </xf>
    <xf numFmtId="0" fontId="0" fillId="8" borderId="5" xfId="0" applyNumberFormat="1" applyFill="1" applyBorder="1" applyAlignment="1" applyProtection="1">
      <alignment horizontal="center"/>
      <protection locked="0"/>
    </xf>
    <xf numFmtId="0" fontId="0" fillId="8" borderId="6" xfId="0" applyNumberFormat="1" applyFill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left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</xf>
    <xf numFmtId="0" fontId="22" fillId="0" borderId="0" xfId="0" applyFont="1" applyFill="1" applyBorder="1" applyAlignment="1" applyProtection="1">
      <alignment horizontal="left"/>
    </xf>
    <xf numFmtId="0" fontId="8" fillId="0" borderId="0" xfId="0" applyFont="1" applyFill="1" applyProtection="1"/>
    <xf numFmtId="0" fontId="22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0" fillId="0" borderId="3" xfId="0" applyFont="1" applyBorder="1" applyAlignment="1" applyProtection="1">
      <alignment horizontal="left" vertical="center"/>
    </xf>
    <xf numFmtId="166" fontId="0" fillId="5" borderId="10" xfId="0" applyNumberFormat="1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center"/>
      <protection locked="0"/>
    </xf>
    <xf numFmtId="164" fontId="0" fillId="5" borderId="10" xfId="0" applyNumberFormat="1" applyFill="1" applyBorder="1" applyAlignment="1" applyProtection="1">
      <alignment horizontal="center"/>
    </xf>
    <xf numFmtId="0" fontId="0" fillId="3" borderId="13" xfId="0" applyFont="1" applyFill="1" applyBorder="1" applyAlignment="1" applyProtection="1">
      <alignment vertical="center"/>
      <protection locked="0"/>
    </xf>
    <xf numFmtId="0" fontId="0" fillId="3" borderId="15" xfId="0" applyFill="1" applyBorder="1" applyAlignment="1" applyProtection="1">
      <alignment vertical="center"/>
      <protection locked="0"/>
    </xf>
    <xf numFmtId="0" fontId="0" fillId="3" borderId="1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4" borderId="13" xfId="0" applyFill="1" applyBorder="1" applyAlignment="1" applyProtection="1">
      <alignment horizontal="center"/>
      <protection hidden="1"/>
    </xf>
    <xf numFmtId="0" fontId="0" fillId="6" borderId="14" xfId="0" applyFill="1" applyBorder="1" applyProtection="1">
      <protection hidden="1"/>
    </xf>
    <xf numFmtId="0" fontId="0" fillId="4" borderId="2" xfId="0" applyFill="1" applyBorder="1" applyAlignment="1" applyProtection="1">
      <alignment horizontal="center"/>
      <protection hidden="1"/>
    </xf>
    <xf numFmtId="0" fontId="0" fillId="6" borderId="11" xfId="0" applyFill="1" applyBorder="1" applyAlignment="1" applyProtection="1">
      <alignment horizontal="center"/>
      <protection hidden="1"/>
    </xf>
    <xf numFmtId="0" fontId="0" fillId="4" borderId="10" xfId="0" applyFill="1" applyBorder="1" applyAlignment="1" applyProtection="1">
      <alignment horizontal="center"/>
      <protection hidden="1"/>
    </xf>
    <xf numFmtId="0" fontId="0" fillId="0" borderId="0" xfId="0" applyNumberFormat="1" applyFill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0" fillId="0" borderId="0" xfId="0" applyFont="1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20" fontId="0" fillId="3" borderId="7" xfId="0" applyNumberForma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Protection="1"/>
    <xf numFmtId="0" fontId="27" fillId="0" borderId="0" xfId="0" applyFont="1" applyFill="1" applyBorder="1" applyProtection="1"/>
    <xf numFmtId="0" fontId="9" fillId="0" borderId="3" xfId="0" applyFont="1" applyBorder="1" applyProtection="1"/>
    <xf numFmtId="0" fontId="27" fillId="2" borderId="5" xfId="0" applyFont="1" applyFill="1" applyBorder="1" applyAlignment="1" applyProtection="1">
      <alignment horizontal="center"/>
    </xf>
    <xf numFmtId="0" fontId="8" fillId="3" borderId="7" xfId="0" applyFon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0" fontId="8" fillId="3" borderId="0" xfId="0" applyFon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1" fillId="6" borderId="7" xfId="0" applyFont="1" applyFill="1" applyBorder="1" applyProtection="1"/>
    <xf numFmtId="0" fontId="1" fillId="6" borderId="8" xfId="0" applyFont="1" applyFill="1" applyBorder="1" applyProtection="1"/>
    <xf numFmtId="0" fontId="1" fillId="6" borderId="9" xfId="0" applyFont="1" applyFill="1" applyBorder="1" applyProtection="1"/>
    <xf numFmtId="0" fontId="30" fillId="0" borderId="0" xfId="0" applyFont="1" applyProtection="1"/>
    <xf numFmtId="0" fontId="0" fillId="5" borderId="13" xfId="0" applyFill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horizontal="left" vertical="center"/>
    </xf>
    <xf numFmtId="0" fontId="0" fillId="0" borderId="15" xfId="0" applyFill="1" applyBorder="1" applyProtection="1"/>
    <xf numFmtId="0" fontId="0" fillId="3" borderId="13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8" fillId="3" borderId="2" xfId="0" applyFont="1" applyFill="1" applyBorder="1" applyAlignment="1" applyProtection="1">
      <alignment horizontal="left"/>
      <protection locked="0"/>
    </xf>
    <xf numFmtId="20" fontId="0" fillId="3" borderId="2" xfId="0" applyNumberFormat="1" applyFill="1" applyBorder="1" applyAlignment="1" applyProtection="1">
      <alignment horizontal="left"/>
      <protection locked="0"/>
    </xf>
    <xf numFmtId="0" fontId="0" fillId="0" borderId="13" xfId="0" applyFill="1" applyBorder="1" applyAlignment="1" applyProtection="1">
      <alignment horizontal="left"/>
    </xf>
    <xf numFmtId="0" fontId="0" fillId="0" borderId="15" xfId="0" applyFill="1" applyBorder="1" applyAlignment="1" applyProtection="1">
      <alignment horizontal="left"/>
    </xf>
    <xf numFmtId="0" fontId="0" fillId="0" borderId="14" xfId="0" applyFill="1" applyBorder="1" applyAlignment="1" applyProtection="1">
      <alignment horizontal="left"/>
    </xf>
    <xf numFmtId="2" fontId="0" fillId="0" borderId="1" xfId="0" applyNumberFormat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2" fontId="0" fillId="0" borderId="4" xfId="0" applyNumberForma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164" fontId="0" fillId="0" borderId="0" xfId="0" applyNumberForma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0" fillId="0" borderId="6" xfId="0" applyNumberForma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164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left" vertical="center"/>
    </xf>
    <xf numFmtId="2" fontId="0" fillId="0" borderId="0" xfId="0" applyNumberForma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/>
    </xf>
    <xf numFmtId="0" fontId="0" fillId="12" borderId="6" xfId="0" applyFill="1" applyBorder="1" applyAlignment="1" applyProtection="1">
      <alignment horizontal="center"/>
      <protection locked="0"/>
    </xf>
    <xf numFmtId="0" fontId="0" fillId="12" borderId="6" xfId="0" applyFill="1" applyBorder="1" applyAlignment="1" applyProtection="1">
      <alignment horizontal="center"/>
    </xf>
    <xf numFmtId="0" fontId="0" fillId="2" borderId="7" xfId="0" applyFill="1" applyBorder="1" applyProtection="1"/>
    <xf numFmtId="0" fontId="0" fillId="12" borderId="4" xfId="0" applyFont="1" applyFill="1" applyBorder="1" applyAlignment="1" applyProtection="1">
      <alignment horizontal="center"/>
    </xf>
    <xf numFmtId="0" fontId="0" fillId="12" borderId="4" xfId="0" applyFill="1" applyBorder="1" applyProtection="1"/>
    <xf numFmtId="0" fontId="0" fillId="2" borderId="8" xfId="0" applyFill="1" applyBorder="1" applyProtection="1"/>
    <xf numFmtId="0" fontId="27" fillId="2" borderId="6" xfId="0" applyFont="1" applyFill="1" applyBorder="1" applyAlignment="1" applyProtection="1">
      <alignment horizontal="center"/>
    </xf>
    <xf numFmtId="0" fontId="27" fillId="2" borderId="10" xfId="0" applyFont="1" applyFill="1" applyBorder="1" applyAlignment="1" applyProtection="1">
      <alignment horizontal="center"/>
    </xf>
    <xf numFmtId="0" fontId="27" fillId="0" borderId="3" xfId="0" applyFont="1" applyBorder="1" applyProtection="1"/>
    <xf numFmtId="0" fontId="8" fillId="2" borderId="5" xfId="0" applyFont="1" applyFill="1" applyBorder="1" applyAlignment="1" applyProtection="1">
      <alignment horizontal="center"/>
    </xf>
    <xf numFmtId="0" fontId="8" fillId="2" borderId="6" xfId="0" applyFont="1" applyFill="1" applyBorder="1" applyAlignment="1" applyProtection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10" xfId="0" applyFill="1" applyBorder="1"/>
    <xf numFmtId="0" fontId="0" fillId="0" borderId="3" xfId="0" applyFill="1" applyBorder="1"/>
    <xf numFmtId="0" fontId="8" fillId="3" borderId="10" xfId="0" applyFont="1" applyFill="1" applyBorder="1" applyProtection="1">
      <protection locked="0"/>
    </xf>
    <xf numFmtId="2" fontId="0" fillId="0" borderId="0" xfId="0" applyNumberFormat="1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left" vertical="center"/>
    </xf>
    <xf numFmtId="0" fontId="0" fillId="0" borderId="12" xfId="0" applyFill="1" applyBorder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164" fontId="0" fillId="0" borderId="9" xfId="0" applyNumberFormat="1" applyFont="1" applyBorder="1" applyAlignment="1" applyProtection="1">
      <alignment horizontal="center"/>
    </xf>
    <xf numFmtId="0" fontId="0" fillId="0" borderId="6" xfId="0" applyBorder="1" applyProtection="1"/>
    <xf numFmtId="0" fontId="1" fillId="0" borderId="0" xfId="0" applyFont="1" applyBorder="1" applyProtection="1"/>
    <xf numFmtId="0" fontId="0" fillId="3" borderId="4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0" borderId="14" xfId="0" applyBorder="1" applyAlignment="1" applyProtection="1">
      <alignment horizontal="left"/>
    </xf>
    <xf numFmtId="0" fontId="0" fillId="0" borderId="10" xfId="0" applyFont="1" applyFill="1" applyBorder="1" applyProtection="1"/>
    <xf numFmtId="0" fontId="0" fillId="0" borderId="0" xfId="0" applyFont="1" applyFill="1" applyBorder="1" applyAlignment="1" applyProtection="1">
      <alignment vertical="center"/>
    </xf>
    <xf numFmtId="164" fontId="0" fillId="0" borderId="1" xfId="0" applyNumberFormat="1" applyFont="1" applyBorder="1" applyAlignment="1" applyProtection="1">
      <alignment horizontal="center"/>
    </xf>
    <xf numFmtId="0" fontId="0" fillId="0" borderId="0" xfId="0" applyFont="1" applyProtection="1"/>
    <xf numFmtId="0" fontId="8" fillId="0" borderId="3" xfId="0" applyFont="1" applyBorder="1" applyProtection="1"/>
    <xf numFmtId="0" fontId="9" fillId="0" borderId="0" xfId="0" applyFont="1" applyProtection="1"/>
    <xf numFmtId="0" fontId="30" fillId="0" borderId="0" xfId="0" applyFont="1" applyBorder="1" applyProtection="1"/>
    <xf numFmtId="0" fontId="30" fillId="0" borderId="0" xfId="0" applyFont="1" applyFill="1" applyBorder="1" applyProtection="1"/>
    <xf numFmtId="0" fontId="27" fillId="0" borderId="3" xfId="0" applyFont="1" applyFill="1" applyBorder="1" applyProtection="1"/>
    <xf numFmtId="0" fontId="30" fillId="6" borderId="0" xfId="0" applyFont="1" applyFill="1" applyBorder="1" applyProtection="1"/>
    <xf numFmtId="0" fontId="9" fillId="0" borderId="7" xfId="0" applyFont="1" applyFill="1" applyBorder="1" applyAlignment="1" applyProtection="1">
      <alignment horizontal="left"/>
    </xf>
    <xf numFmtId="0" fontId="9" fillId="0" borderId="8" xfId="0" applyFont="1" applyFill="1" applyBorder="1" applyAlignment="1" applyProtection="1">
      <alignment horizontal="center"/>
    </xf>
    <xf numFmtId="0" fontId="9" fillId="0" borderId="8" xfId="0" applyFont="1" applyBorder="1" applyProtection="1"/>
    <xf numFmtId="0" fontId="9" fillId="0" borderId="9" xfId="0" applyFont="1" applyBorder="1" applyProtection="1"/>
    <xf numFmtId="0" fontId="9" fillId="0" borderId="10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center"/>
    </xf>
    <xf numFmtId="0" fontId="9" fillId="0" borderId="12" xfId="0" applyFont="1" applyBorder="1" applyProtection="1"/>
    <xf numFmtId="0" fontId="9" fillId="2" borderId="4" xfId="0" applyFont="1" applyFill="1" applyBorder="1" applyAlignment="1" applyProtection="1">
      <alignment horizontal="center"/>
    </xf>
    <xf numFmtId="0" fontId="9" fillId="2" borderId="5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vertical="center"/>
    </xf>
    <xf numFmtId="9" fontId="27" fillId="0" borderId="3" xfId="0" applyNumberFormat="1" applyFont="1" applyBorder="1" applyAlignment="1" applyProtection="1">
      <alignment horizontal="left" vertical="center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0" borderId="2" xfId="0" applyFont="1" applyBorder="1" applyProtection="1"/>
    <xf numFmtId="164" fontId="0" fillId="0" borderId="4" xfId="0" applyNumberFormat="1" applyFont="1" applyFill="1" applyBorder="1" applyAlignment="1" applyProtection="1">
      <alignment horizontal="center"/>
    </xf>
    <xf numFmtId="2" fontId="0" fillId="0" borderId="4" xfId="0" applyNumberFormat="1" applyFont="1" applyFill="1" applyBorder="1" applyAlignment="1" applyProtection="1">
      <alignment horizontal="center"/>
    </xf>
    <xf numFmtId="0" fontId="0" fillId="4" borderId="3" xfId="0" applyFill="1" applyBorder="1"/>
    <xf numFmtId="0" fontId="9" fillId="0" borderId="1" xfId="0" applyFont="1" applyFill="1" applyBorder="1" applyProtection="1"/>
    <xf numFmtId="9" fontId="27" fillId="0" borderId="3" xfId="0" applyNumberFormat="1" applyFont="1" applyBorder="1" applyAlignment="1" applyProtection="1">
      <alignment horizontal="left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8" fillId="0" borderId="10" xfId="0" applyFont="1" applyBorder="1" applyProtection="1"/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1" xfId="0" applyFont="1" applyFill="1" applyBorder="1" applyAlignment="1" applyProtection="1">
      <alignment horizontal="left" vertical="center"/>
      <protection locked="0"/>
    </xf>
    <xf numFmtId="0" fontId="0" fillId="3" borderId="2" xfId="0" applyFont="1" applyFill="1" applyBorder="1" applyAlignment="1" applyProtection="1">
      <alignment horizontal="left"/>
      <protection locked="0"/>
    </xf>
    <xf numFmtId="0" fontId="0" fillId="3" borderId="0" xfId="0" applyFont="1" applyFill="1" applyBorder="1" applyAlignment="1" applyProtection="1">
      <alignment horizontal="left"/>
      <protection locked="0"/>
    </xf>
    <xf numFmtId="0" fontId="0" fillId="3" borderId="11" xfId="0" applyFont="1" applyFill="1" applyBorder="1" applyAlignment="1" applyProtection="1">
      <alignment horizontal="left"/>
      <protection locked="0"/>
    </xf>
    <xf numFmtId="0" fontId="0" fillId="3" borderId="10" xfId="0" applyFont="1" applyFill="1" applyBorder="1" applyAlignment="1" applyProtection="1">
      <alignment horizontal="left"/>
      <protection locked="0"/>
    </xf>
    <xf numFmtId="0" fontId="0" fillId="3" borderId="3" xfId="0" applyFont="1" applyFill="1" applyBorder="1" applyAlignment="1" applyProtection="1">
      <alignment horizontal="left"/>
      <protection locked="0"/>
    </xf>
    <xf numFmtId="0" fontId="0" fillId="3" borderId="12" xfId="0" applyFont="1" applyFill="1" applyBorder="1" applyAlignment="1" applyProtection="1">
      <alignment horizontal="left"/>
      <protection locked="0"/>
    </xf>
    <xf numFmtId="0" fontId="1" fillId="3" borderId="7" xfId="0" applyFont="1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left"/>
      <protection locked="0"/>
    </xf>
    <xf numFmtId="0" fontId="1" fillId="3" borderId="9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3" borderId="11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Protection="1"/>
    <xf numFmtId="0" fontId="1" fillId="4" borderId="15" xfId="0" applyFont="1" applyFill="1" applyBorder="1" applyProtection="1"/>
    <xf numFmtId="0" fontId="1" fillId="4" borderId="14" xfId="0" applyFont="1" applyFill="1" applyBorder="1" applyProtection="1"/>
    <xf numFmtId="0" fontId="1" fillId="3" borderId="13" xfId="0" applyFont="1" applyFill="1" applyBorder="1" applyAlignment="1" applyProtection="1">
      <alignment horizontal="left"/>
      <protection locked="0"/>
    </xf>
    <xf numFmtId="0" fontId="1" fillId="3" borderId="15" xfId="0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7" xfId="0" applyFont="1" applyFill="1" applyBorder="1" applyAlignment="1" applyProtection="1">
      <alignment horizontal="left"/>
      <protection locked="0"/>
    </xf>
    <xf numFmtId="0" fontId="0" fillId="3" borderId="8" xfId="0" applyFont="1" applyFill="1" applyBorder="1" applyAlignment="1" applyProtection="1">
      <alignment horizontal="left"/>
      <protection locked="0"/>
    </xf>
    <xf numFmtId="0" fontId="0" fillId="3" borderId="9" xfId="0" applyFont="1" applyFill="1" applyBorder="1" applyAlignment="1" applyProtection="1">
      <alignment horizontal="left"/>
      <protection locked="0"/>
    </xf>
    <xf numFmtId="0" fontId="1" fillId="6" borderId="7" xfId="0" applyFont="1" applyFill="1" applyBorder="1" applyAlignment="1" applyProtection="1">
      <alignment horizontal="center"/>
    </xf>
    <xf numFmtId="0" fontId="1" fillId="6" borderId="8" xfId="0" applyFont="1" applyFill="1" applyBorder="1" applyAlignment="1" applyProtection="1">
      <alignment horizontal="center"/>
    </xf>
    <xf numFmtId="0" fontId="1" fillId="6" borderId="9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/>
    </xf>
    <xf numFmtId="2" fontId="0" fillId="0" borderId="7" xfId="0" applyNumberFormat="1" applyBorder="1" applyAlignment="1" applyProtection="1">
      <alignment horizontal="center"/>
    </xf>
    <xf numFmtId="2" fontId="0" fillId="0" borderId="9" xfId="0" applyNumberFormat="1" applyBorder="1" applyAlignment="1" applyProtection="1">
      <alignment horizontal="center"/>
    </xf>
    <xf numFmtId="2" fontId="0" fillId="0" borderId="2" xfId="0" applyNumberFormat="1" applyBorder="1" applyAlignment="1" applyProtection="1">
      <alignment horizontal="center"/>
    </xf>
    <xf numFmtId="2" fontId="0" fillId="0" borderId="11" xfId="0" applyNumberFormat="1" applyBorder="1" applyAlignment="1" applyProtection="1">
      <alignment horizontal="center"/>
    </xf>
    <xf numFmtId="2" fontId="0" fillId="0" borderId="10" xfId="0" applyNumberFormat="1" applyBorder="1" applyAlignment="1" applyProtection="1">
      <alignment horizontal="center"/>
    </xf>
    <xf numFmtId="2" fontId="0" fillId="0" borderId="12" xfId="0" applyNumberFormat="1" applyBorder="1" applyAlignment="1" applyProtection="1">
      <alignment horizontal="center"/>
    </xf>
    <xf numFmtId="2" fontId="0" fillId="0" borderId="13" xfId="0" applyNumberFormat="1" applyBorder="1" applyAlignment="1" applyProtection="1">
      <alignment horizontal="center"/>
    </xf>
    <xf numFmtId="2" fontId="0" fillId="0" borderId="14" xfId="0" applyNumberFormat="1" applyBorder="1" applyAlignment="1" applyProtection="1">
      <alignment horizontal="center"/>
    </xf>
    <xf numFmtId="0" fontId="0" fillId="6" borderId="13" xfId="0" applyFill="1" applyBorder="1" applyAlignment="1" applyProtection="1">
      <alignment horizontal="center" vertical="center"/>
    </xf>
    <xf numFmtId="0" fontId="0" fillId="6" borderId="15" xfId="0" applyFill="1" applyBorder="1" applyAlignment="1" applyProtection="1">
      <alignment horizontal="center" vertical="center"/>
    </xf>
    <xf numFmtId="0" fontId="0" fillId="6" borderId="14" xfId="0" applyFill="1" applyBorder="1" applyAlignment="1" applyProtection="1">
      <alignment horizontal="center" vertical="center"/>
    </xf>
    <xf numFmtId="0" fontId="0" fillId="6" borderId="7" xfId="0" applyFill="1" applyBorder="1" applyAlignment="1" applyProtection="1">
      <alignment horizontal="center"/>
    </xf>
    <xf numFmtId="0" fontId="0" fillId="6" borderId="9" xfId="0" applyFill="1" applyBorder="1" applyAlignment="1" applyProtection="1">
      <alignment horizontal="center"/>
    </xf>
    <xf numFmtId="0" fontId="0" fillId="6" borderId="10" xfId="0" applyFill="1" applyBorder="1" applyAlignment="1" applyProtection="1">
      <alignment horizontal="center"/>
    </xf>
    <xf numFmtId="0" fontId="0" fillId="6" borderId="12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17" fillId="10" borderId="0" xfId="0" applyFont="1" applyFill="1" applyAlignment="1" applyProtection="1">
      <alignment horizontal="center"/>
      <protection hidden="1"/>
    </xf>
    <xf numFmtId="0" fontId="17" fillId="10" borderId="15" xfId="0" applyFont="1" applyFill="1" applyBorder="1" applyAlignment="1">
      <alignment horizontal="center"/>
    </xf>
    <xf numFmtId="0" fontId="17" fillId="10" borderId="14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7" fillId="10" borderId="3" xfId="0" applyFont="1" applyFill="1" applyBorder="1" applyAlignment="1" applyProtection="1">
      <alignment horizontal="center"/>
      <protection hidden="1"/>
    </xf>
  </cellXfs>
  <cellStyles count="2">
    <cellStyle name="Link" xfId="1" builtinId="8"/>
    <cellStyle name="Normal" xfId="0" builtinId="0"/>
  </cellStyles>
  <dxfs count="115"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 patternType="solid"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99CCFF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99CCFF"/>
        </patternFill>
      </fill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99CCFF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CC99"/>
      <color rgb="FF99CCFF"/>
      <color rgb="FFFFFFCC"/>
      <color rgb="FFCCFFCC"/>
      <color rgb="FFCCECFF"/>
      <color rgb="FFFFFF99"/>
      <color rgb="FFFFCC66"/>
      <color rgb="FFFF7C8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2.1 Højspænding (</a:t>
            </a:r>
            <a:r>
              <a:rPr lang="en-US" sz="1200" i="1"/>
              <a:t>U</a:t>
            </a:r>
            <a:r>
              <a:rPr lang="en-US" sz="1200"/>
              <a:t>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7"/>
          </c:marker>
          <c:xVal>
            <c:numRef>
              <c:f>'2. Røntgenrør m.m.'!$B$28:$B$32</c:f>
              <c:numCache>
                <c:formatCode>General</c:formatCode>
                <c:ptCount val="5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30</c:v>
                </c:pt>
                <c:pt idx="4">
                  <c:v>32</c:v>
                </c:pt>
              </c:numCache>
            </c:numRef>
          </c:xVal>
          <c:yVal>
            <c:numRef>
              <c:f>'2. Røntgenrør m.m.'!$C$28:$C$32</c:f>
              <c:numCache>
                <c:formatCode>0.0</c:formatCode>
                <c:ptCount val="5"/>
                <c:pt idx="0">
                  <c:v>26.5</c:v>
                </c:pt>
                <c:pt idx="1">
                  <c:v>27.5</c:v>
                </c:pt>
                <c:pt idx="2">
                  <c:v>28.5</c:v>
                </c:pt>
                <c:pt idx="3">
                  <c:v>30.5</c:v>
                </c:pt>
                <c:pt idx="4">
                  <c:v>32.5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70-448C-A243-76EC76DF7A60}"/>
            </c:ext>
          </c:extLst>
        </c:ser>
        <c:ser>
          <c:idx val="3"/>
          <c:order val="1"/>
          <c:spPr>
            <a:ln w="28575">
              <a:noFill/>
            </a:ln>
          </c:spPr>
          <c:trendline>
            <c:spPr>
              <a:ln>
                <a:solidFill>
                  <a:srgbClr val="FF0000"/>
                </a:solidFill>
                <a:prstDash val="sysDot"/>
              </a:ln>
            </c:spPr>
            <c:trendlineType val="linear"/>
            <c:dispRSqr val="0"/>
            <c:dispEq val="0"/>
          </c:trendline>
          <c:xVal>
            <c:numLit>
              <c:formatCode>General</c:formatCode>
              <c:ptCount val="2"/>
              <c:pt idx="0">
                <c:v>10</c:v>
              </c:pt>
              <c:pt idx="1">
                <c:v>50</c:v>
              </c:pt>
            </c:numLit>
          </c:xVal>
          <c:yVal>
            <c:numLit>
              <c:formatCode>General</c:formatCode>
              <c:ptCount val="2"/>
              <c:pt idx="0">
                <c:v>10</c:v>
              </c:pt>
              <c:pt idx="1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9D70-448C-A243-76EC76DF7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830672"/>
        <c:axId val="246827144"/>
      </c:scatterChart>
      <c:valAx>
        <c:axId val="246830672"/>
        <c:scaling>
          <c:orientation val="minMax"/>
          <c:max val="4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Indstillet [kV]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46827144"/>
        <c:crosses val="autoZero"/>
        <c:crossBetween val="midCat"/>
        <c:majorUnit val="5"/>
      </c:valAx>
      <c:valAx>
        <c:axId val="246827144"/>
        <c:scaling>
          <c:orientation val="minMax"/>
          <c:max val="40"/>
          <c:min val="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Målt [kV]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46830672"/>
        <c:crosses val="autoZero"/>
        <c:crossBetween val="midCat"/>
        <c:majorUnit val="5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i="1"/>
            </a:pPr>
            <a:r>
              <a:rPr lang="en-US" sz="1400" i="1"/>
              <a:t>SDNR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297571162737784"/>
          <c:y val="0.13420844168242654"/>
          <c:w val="0.72115225534888638"/>
          <c:h val="0.69887523412496366"/>
        </c:manualLayout>
      </c:layout>
      <c:scatterChart>
        <c:scatterStyle val="lineMarker"/>
        <c:varyColors val="0"/>
        <c:ser>
          <c:idx val="0"/>
          <c:order val="0"/>
          <c:tx>
            <c:v>SDNR</c:v>
          </c:tx>
          <c:spPr>
            <a:ln w="28575">
              <a:noFill/>
            </a:ln>
          </c:spPr>
          <c:marker>
            <c:spPr>
              <a:solidFill>
                <a:schemeClr val="tx1"/>
              </a:solidFill>
            </c:spPr>
          </c:marker>
          <c:dPt>
            <c:idx val="1"/>
            <c:marker>
              <c:symbol val="diamond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0-4081-4D72-8A3F-9602A5CDC8DC}"/>
              </c:ext>
            </c:extLst>
          </c:dPt>
          <c:xVal>
            <c:numRef>
              <c:f>'7. Referencedosimetri'!$B$29:$B$35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</c:numCache>
            </c:numRef>
          </c:xVal>
          <c:yVal>
            <c:numRef>
              <c:f>'7. Referencedosimetri'!$O$29:$O$35</c:f>
              <c:numCache>
                <c:formatCode>0.0</c:formatCode>
                <c:ptCount val="7"/>
                <c:pt idx="0">
                  <c:v>9.1960784313725448</c:v>
                </c:pt>
                <c:pt idx="1">
                  <c:v>8.9183673469387728</c:v>
                </c:pt>
                <c:pt idx="2">
                  <c:v>8.1200000000000045</c:v>
                </c:pt>
                <c:pt idx="3">
                  <c:v>7.549019607843138</c:v>
                </c:pt>
                <c:pt idx="4">
                  <c:v>6.9215686274509833</c:v>
                </c:pt>
                <c:pt idx="5">
                  <c:v>6.2115384615384635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81-4D72-8A3F-9602A5CDC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449912"/>
        <c:axId val="497449520"/>
      </c:scatterChart>
      <c:valAx>
        <c:axId val="497449912"/>
        <c:scaling>
          <c:orientation val="minMax"/>
          <c:max val="80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PMMA [mm]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7449520"/>
        <c:crosses val="autoZero"/>
        <c:crossBetween val="midCat"/>
        <c:majorUnit val="10"/>
      </c:valAx>
      <c:valAx>
        <c:axId val="497449520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497449912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g -</a:t>
            </a:r>
            <a:r>
              <a:rPr lang="da-DK" baseline="0"/>
              <a:t> faktor fit</a:t>
            </a:r>
            <a:endParaRPr lang="da-DK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0.24278048675172947"/>
                  <c:y val="-0.24342373869932926"/>
                </c:manualLayout>
              </c:layout>
              <c:numFmt formatCode="General" sourceLinked="0"/>
            </c:trendlineLbl>
          </c:trendline>
          <c:xVal>
            <c:numRef>
              <c:f>Data!$D$9:$N$9</c:f>
              <c:numCache>
                <c:formatCode>0.00</c:formatCode>
                <c:ptCount val="11"/>
                <c:pt idx="0">
                  <c:v>0.3</c:v>
                </c:pt>
                <c:pt idx="1">
                  <c:v>0.35</c:v>
                </c:pt>
                <c:pt idx="2">
                  <c:v>0.4</c:v>
                </c:pt>
                <c:pt idx="3">
                  <c:v>0.45</c:v>
                </c:pt>
                <c:pt idx="4">
                  <c:v>0.5</c:v>
                </c:pt>
                <c:pt idx="5">
                  <c:v>0.55000000000000004</c:v>
                </c:pt>
                <c:pt idx="6">
                  <c:v>0.6</c:v>
                </c:pt>
                <c:pt idx="7">
                  <c:v>0.65</c:v>
                </c:pt>
                <c:pt idx="8">
                  <c:v>0.7</c:v>
                </c:pt>
                <c:pt idx="9">
                  <c:v>0.75</c:v>
                </c:pt>
                <c:pt idx="10">
                  <c:v>0.8</c:v>
                </c:pt>
              </c:numCache>
            </c:numRef>
          </c:xVal>
          <c:yVal>
            <c:numRef>
              <c:f>Data!$D$17:$N$17</c:f>
              <c:numCache>
                <c:formatCode>0.000</c:formatCode>
                <c:ptCount val="11"/>
                <c:pt idx="0">
                  <c:v>7.3999999999999996E-2</c:v>
                </c:pt>
                <c:pt idx="1">
                  <c:v>8.5000000000000006E-2</c:v>
                </c:pt>
                <c:pt idx="2">
                  <c:v>9.6000000000000002E-2</c:v>
                </c:pt>
                <c:pt idx="3">
                  <c:v>0.106</c:v>
                </c:pt>
                <c:pt idx="4">
                  <c:v>0.11700000000000001</c:v>
                </c:pt>
                <c:pt idx="5">
                  <c:v>0.13300000000000001</c:v>
                </c:pt>
                <c:pt idx="6">
                  <c:v>0.14899999999999999</c:v>
                </c:pt>
                <c:pt idx="7">
                  <c:v>0.16300000000000001</c:v>
                </c:pt>
                <c:pt idx="8">
                  <c:v>0.17599999999999999</c:v>
                </c:pt>
                <c:pt idx="9">
                  <c:v>0.187</c:v>
                </c:pt>
                <c:pt idx="10">
                  <c:v>0.19900000000000001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65-4767-8A9C-CD0EEEBA7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449128"/>
        <c:axId val="497451872"/>
      </c:scatterChart>
      <c:valAx>
        <c:axId val="497449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HVL mm AL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97451872"/>
        <c:crosses val="autoZero"/>
        <c:crossBetween val="midCat"/>
      </c:valAx>
      <c:valAx>
        <c:axId val="497451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 faktor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4974491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c - faktor fit</a:t>
            </a:r>
            <a:r>
              <a:rPr lang="da-DK" baseline="0"/>
              <a:t> </a:t>
            </a:r>
            <a:endParaRPr lang="da-DK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0.27507288283879772"/>
                  <c:y val="-0.59671114027413241"/>
                </c:manualLayout>
              </c:layout>
              <c:numFmt formatCode="General" sourceLinked="0"/>
            </c:trendlineLbl>
          </c:trendline>
          <c:xVal>
            <c:numRef>
              <c:f>Data!$D$44:$N$44</c:f>
              <c:numCache>
                <c:formatCode>0.00</c:formatCode>
                <c:ptCount val="11"/>
                <c:pt idx="0">
                  <c:v>0.3</c:v>
                </c:pt>
                <c:pt idx="1">
                  <c:v>0.35</c:v>
                </c:pt>
                <c:pt idx="2">
                  <c:v>0.4</c:v>
                </c:pt>
                <c:pt idx="3">
                  <c:v>0.45</c:v>
                </c:pt>
                <c:pt idx="4">
                  <c:v>0.5</c:v>
                </c:pt>
                <c:pt idx="5">
                  <c:v>0.55000000000000004</c:v>
                </c:pt>
                <c:pt idx="6">
                  <c:v>0.6</c:v>
                </c:pt>
                <c:pt idx="7">
                  <c:v>0.65</c:v>
                </c:pt>
                <c:pt idx="8">
                  <c:v>0.7</c:v>
                </c:pt>
                <c:pt idx="9">
                  <c:v>0.75</c:v>
                </c:pt>
                <c:pt idx="10">
                  <c:v>0.8</c:v>
                </c:pt>
              </c:numCache>
            </c:numRef>
          </c:xVal>
          <c:yVal>
            <c:numRef>
              <c:f>Data!$D$52:$N$52</c:f>
              <c:numCache>
                <c:formatCode>0.000</c:formatCode>
                <c:ptCount val="11"/>
                <c:pt idx="0">
                  <c:v>1.3069999999999999</c:v>
                </c:pt>
                <c:pt idx="1">
                  <c:v>1.2989999999999999</c:v>
                </c:pt>
                <c:pt idx="2">
                  <c:v>1.292</c:v>
                </c:pt>
                <c:pt idx="3">
                  <c:v>1.2869999999999999</c:v>
                </c:pt>
                <c:pt idx="4">
                  <c:v>1.2829999999999999</c:v>
                </c:pt>
                <c:pt idx="5">
                  <c:v>1.2729999999999999</c:v>
                </c:pt>
                <c:pt idx="6">
                  <c:v>1.262</c:v>
                </c:pt>
                <c:pt idx="7">
                  <c:v>1.2490000000000001</c:v>
                </c:pt>
                <c:pt idx="8">
                  <c:v>1.238</c:v>
                </c:pt>
                <c:pt idx="9">
                  <c:v>1.226</c:v>
                </c:pt>
                <c:pt idx="10">
                  <c:v>1.2130000000000001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6A-41FE-8E1F-754893BCB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924784"/>
        <c:axId val="498923608"/>
      </c:scatterChart>
      <c:valAx>
        <c:axId val="498924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HVL mm AL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98923608"/>
        <c:crosses val="autoZero"/>
        <c:crossBetween val="midCat"/>
      </c:valAx>
      <c:valAx>
        <c:axId val="498923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 faktor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498924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2.3 Dosis-mAs-linearitet</a:t>
            </a:r>
          </a:p>
        </c:rich>
      </c:tx>
      <c:layout>
        <c:manualLayout>
          <c:xMode val="edge"/>
          <c:yMode val="edge"/>
          <c:x val="0.32830963387377504"/>
          <c:y val="3.68904716603027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05174461948661"/>
          <c:y val="0.1831489838473748"/>
          <c:w val="0.66175345930853524"/>
          <c:h val="0.5730739784009212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spPr>
              <a:ln>
                <a:solidFill>
                  <a:srgbClr val="FF0000"/>
                </a:solidFill>
                <a:prstDash val="sysDot"/>
              </a:ln>
            </c:spPr>
            <c:trendlineType val="linear"/>
            <c:forward val="50"/>
            <c:dispRSqr val="1"/>
            <c:dispEq val="1"/>
            <c:trendlineLbl>
              <c:layout>
                <c:manualLayout>
                  <c:x val="0.30083262945969269"/>
                  <c:y val="-0.17290295306226014"/>
                </c:manualLayout>
              </c:layout>
              <c:numFmt formatCode="General" sourceLinked="0"/>
            </c:trendlineLbl>
          </c:trendline>
          <c:xVal>
            <c:numRef>
              <c:f>'2. Røntgenrør m.m.'!$B$81:$B$88</c:f>
              <c:numCache>
                <c:formatCode>General</c:formatCode>
                <c:ptCount val="8"/>
                <c:pt idx="0">
                  <c:v>20</c:v>
                </c:pt>
                <c:pt idx="1">
                  <c:v>50</c:v>
                </c:pt>
                <c:pt idx="2">
                  <c:v>80</c:v>
                </c:pt>
                <c:pt idx="3">
                  <c:v>100</c:v>
                </c:pt>
                <c:pt idx="4">
                  <c:v>140</c:v>
                </c:pt>
                <c:pt idx="5">
                  <c:v>200</c:v>
                </c:pt>
              </c:numCache>
            </c:numRef>
          </c:xVal>
          <c:yVal>
            <c:numRef>
              <c:f>'2. Røntgenrør m.m.'!$C$81:$C$88</c:f>
              <c:numCache>
                <c:formatCode>General</c:formatCode>
                <c:ptCount val="8"/>
                <c:pt idx="0">
                  <c:v>0.55500000000000005</c:v>
                </c:pt>
                <c:pt idx="1">
                  <c:v>1.367</c:v>
                </c:pt>
                <c:pt idx="2">
                  <c:v>2.1840000000000002</c:v>
                </c:pt>
                <c:pt idx="3">
                  <c:v>2.7450000000000001</c:v>
                </c:pt>
                <c:pt idx="4">
                  <c:v>3.8410000000000002</c:v>
                </c:pt>
                <c:pt idx="5">
                  <c:v>5.5010000000000003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CD-41D8-A0F8-7F7A5CC58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347168"/>
        <c:axId val="501347560"/>
      </c:scatterChart>
      <c:valAx>
        <c:axId val="501347168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Q</a:t>
                </a:r>
                <a:r>
                  <a:rPr lang="en-US"/>
                  <a:t> [mAs]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01347560"/>
        <c:crosses val="autoZero"/>
        <c:crossBetween val="midCat"/>
        <c:majorUnit val="50"/>
      </c:valAx>
      <c:valAx>
        <c:axId val="501347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Dosis [mGy]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01347168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2.4 Dosis-output @ FDD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'2. Røntgenrør m.m.'!$A$106</c:f>
              <c:strCache>
                <c:ptCount val="1"/>
                <c:pt idx="0">
                  <c:v>W-Rh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</c:marker>
          <c:xVal>
            <c:numRef>
              <c:f>'2. Røntgenrør m.m.'!$B$112:$B$123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m.m.'!$E$112:$E$123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2.2499999999999996E-2</c:v>
                </c:pt>
                <c:pt idx="3">
                  <c:v>2.5219999999999992E-2</c:v>
                </c:pt>
                <c:pt idx="4">
                  <c:v>2.7619999999999999E-2</c:v>
                </c:pt>
                <c:pt idx="5">
                  <c:v>3.0019999999999998E-2</c:v>
                </c:pt>
                <c:pt idx="6">
                  <c:v>3.2439999999999997E-2</c:v>
                </c:pt>
                <c:pt idx="7">
                  <c:v>3.5119999999999998E-2</c:v>
                </c:pt>
                <c:pt idx="8">
                  <c:v>3.7520000000000005E-2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FC-4809-A94D-1C10E8217800}"/>
            </c:ext>
          </c:extLst>
        </c:ser>
        <c:ser>
          <c:idx val="1"/>
          <c:order val="1"/>
          <c:tx>
            <c:strRef>
              <c:f>'2. Røntgenrør m.m.'!$G$106</c:f>
              <c:strCache>
                <c:ptCount val="1"/>
                <c:pt idx="0">
                  <c:v>Mo-Mo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</c:marker>
          <c:xVal>
            <c:numRef>
              <c:f>'2. Røntgenrør m.m.'!$H$112:$H$123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m.m.'!$K$112:$K$123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FC-4809-A94D-1C10E8217800}"/>
            </c:ext>
          </c:extLst>
        </c:ser>
        <c:ser>
          <c:idx val="2"/>
          <c:order val="2"/>
          <c:tx>
            <c:strRef>
              <c:f>'2. Røntgenrør m.m.'!$M$106</c:f>
              <c:strCache>
                <c:ptCount val="1"/>
                <c:pt idx="0">
                  <c:v>W-Ag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</c:marker>
          <c:xVal>
            <c:numRef>
              <c:f>'2. Røntgenrør m.m.'!$N$112:$N$123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m.m.'!$Q$112:$Q$123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FC-4809-A94D-1C10E8217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348736"/>
        <c:axId val="501349520"/>
      </c:scatterChart>
      <c:valAx>
        <c:axId val="501348736"/>
        <c:scaling>
          <c:orientation val="minMax"/>
          <c:max val="4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U</a:t>
                </a:r>
                <a:r>
                  <a:rPr lang="en-US"/>
                  <a:t> [kV]</a:t>
                </a:r>
              </a:p>
            </c:rich>
          </c:tx>
          <c:layout>
            <c:manualLayout>
              <c:xMode val="edge"/>
              <c:yMode val="edge"/>
              <c:x val="0.50432268684854031"/>
              <c:y val="0.8881963584112415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501349520"/>
        <c:crosses val="autoZero"/>
        <c:crossBetween val="midCat"/>
        <c:majorUnit val="5"/>
      </c:valAx>
      <c:valAx>
        <c:axId val="501349520"/>
        <c:scaling>
          <c:orientation val="minMax"/>
          <c:min val="1.0000000000000002E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[mGy/mAs]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50134873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2.6 Halv</a:t>
            </a:r>
            <a:r>
              <a:rPr lang="en-US" sz="1200" baseline="0"/>
              <a:t>værdilag, </a:t>
            </a:r>
            <a:r>
              <a:rPr lang="en-US" sz="1200" i="1"/>
              <a:t>HVL</a:t>
            </a:r>
            <a:r>
              <a:rPr lang="en-US" sz="1200"/>
              <a:t> </a:t>
            </a:r>
          </a:p>
        </c:rich>
      </c:tx>
      <c:layout>
        <c:manualLayout>
          <c:xMode val="edge"/>
          <c:yMode val="edge"/>
          <c:x val="0.33727645035749843"/>
          <c:y val="3.322060141991740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'2. Røntgenrør m.m.'!$C$186</c:f>
              <c:strCache>
                <c:ptCount val="1"/>
                <c:pt idx="0">
                  <c:v>W-Rh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</c:marker>
          <c:xVal>
            <c:numRef>
              <c:f>'2. Røntgenrør m.m.'!$B$191:$B$202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m.m.'!$C$191:$C$202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0.54100000000000004</c:v>
                </c:pt>
                <c:pt idx="3">
                  <c:v>0.55200000000000005</c:v>
                </c:pt>
                <c:pt idx="4">
                  <c:v>0.56499999999999995</c:v>
                </c:pt>
                <c:pt idx="5">
                  <c:v>0.57099999999999995</c:v>
                </c:pt>
                <c:pt idx="6">
                  <c:v>0.58099999999999996</c:v>
                </c:pt>
                <c:pt idx="7">
                  <c:v>0.58499999999999996</c:v>
                </c:pt>
                <c:pt idx="8">
                  <c:v>0.59699999999999998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9F-4977-9222-154960145A92}"/>
            </c:ext>
          </c:extLst>
        </c:ser>
        <c:ser>
          <c:idx val="1"/>
          <c:order val="1"/>
          <c:tx>
            <c:strRef>
              <c:f>'2. Røntgenrør m.m.'!$D$186</c:f>
              <c:strCache>
                <c:ptCount val="1"/>
                <c:pt idx="0">
                  <c:v>Mo-Mo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</c:marker>
          <c:xVal>
            <c:numRef>
              <c:f>'2. Røntgenrør m.m.'!$B$191:$B$202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m.m.'!$D$191:$D$202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9F-4977-9222-154960145A92}"/>
            </c:ext>
          </c:extLst>
        </c:ser>
        <c:ser>
          <c:idx val="2"/>
          <c:order val="2"/>
          <c:tx>
            <c:strRef>
              <c:f>'2. Røntgenrør m.m.'!$E$186</c:f>
              <c:strCache>
                <c:ptCount val="1"/>
                <c:pt idx="0">
                  <c:v>W-Ag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</c:marker>
          <c:xVal>
            <c:numRef>
              <c:f>'2. Røntgenrør m.m.'!$B$191:$B$202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m.m.'!$E$191:$E$202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9F-4977-9222-154960145A92}"/>
            </c:ext>
          </c:extLst>
        </c:ser>
        <c:ser>
          <c:idx val="3"/>
          <c:order val="3"/>
          <c:tx>
            <c:strRef>
              <c:f>'2. Røntgenrør m.m.'!$F$186</c:f>
              <c:strCache>
                <c:ptCount val="1"/>
                <c:pt idx="0">
                  <c:v>W-Rh</c:v>
                </c:pt>
              </c:strCache>
            </c:strRef>
          </c:tx>
          <c:spPr>
            <a:ln w="28575">
              <a:noFill/>
            </a:ln>
          </c:spPr>
          <c:xVal>
            <c:numRef>
              <c:f>'2. Røntgenrør m.m.'!$B$191:$B$202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m.m.'!$F$191:$F$202</c:f>
              <c:numCache>
                <c:formatCode>0.000</c:formatCode>
                <c:ptCount val="12"/>
                <c:pt idx="0">
                  <c:v>0.35</c:v>
                </c:pt>
                <c:pt idx="1">
                  <c:v>0.36</c:v>
                </c:pt>
                <c:pt idx="2">
                  <c:v>0.37</c:v>
                </c:pt>
                <c:pt idx="3">
                  <c:v>0.38</c:v>
                </c:pt>
                <c:pt idx="4">
                  <c:v>0.39</c:v>
                </c:pt>
                <c:pt idx="5">
                  <c:v>0.4</c:v>
                </c:pt>
                <c:pt idx="6">
                  <c:v>0.41</c:v>
                </c:pt>
                <c:pt idx="7">
                  <c:v>0.42</c:v>
                </c:pt>
                <c:pt idx="8">
                  <c:v>0.43</c:v>
                </c:pt>
                <c:pt idx="9">
                  <c:v>0.44</c:v>
                </c:pt>
                <c:pt idx="10">
                  <c:v>0.45</c:v>
                </c:pt>
                <c:pt idx="11">
                  <c:v>0.46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E2-4FCA-9FAB-3F2653C80886}"/>
            </c:ext>
          </c:extLst>
        </c:ser>
        <c:ser>
          <c:idx val="4"/>
          <c:order val="4"/>
          <c:tx>
            <c:strRef>
              <c:f>'2. Røntgenrør m.m.'!$G$186</c:f>
              <c:strCache>
                <c:ptCount val="1"/>
                <c:pt idx="0">
                  <c:v>Mo-Mo</c:v>
                </c:pt>
              </c:strCache>
            </c:strRef>
          </c:tx>
          <c:spPr>
            <a:ln w="28575">
              <a:noFill/>
            </a:ln>
          </c:spPr>
          <c:xVal>
            <c:numRef>
              <c:f>'2. Røntgenrør m.m.'!$B$191:$B$202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m.m.'!$G$191:$G$202</c:f>
              <c:numCache>
                <c:formatCode>0.000</c:formatCode>
                <c:ptCount val="12"/>
                <c:pt idx="0">
                  <c:v>0.35</c:v>
                </c:pt>
                <c:pt idx="1">
                  <c:v>0.36</c:v>
                </c:pt>
                <c:pt idx="2">
                  <c:v>0.37</c:v>
                </c:pt>
                <c:pt idx="3">
                  <c:v>0.38</c:v>
                </c:pt>
                <c:pt idx="4">
                  <c:v>0.39</c:v>
                </c:pt>
                <c:pt idx="5">
                  <c:v>0.4</c:v>
                </c:pt>
                <c:pt idx="6">
                  <c:v>0.41</c:v>
                </c:pt>
                <c:pt idx="7">
                  <c:v>0.42</c:v>
                </c:pt>
                <c:pt idx="8">
                  <c:v>0.43</c:v>
                </c:pt>
                <c:pt idx="9">
                  <c:v>0.44</c:v>
                </c:pt>
                <c:pt idx="10">
                  <c:v>0.45</c:v>
                </c:pt>
                <c:pt idx="11">
                  <c:v>0.46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E2-4FCA-9FAB-3F2653C80886}"/>
            </c:ext>
          </c:extLst>
        </c:ser>
        <c:ser>
          <c:idx val="5"/>
          <c:order val="5"/>
          <c:tx>
            <c:strRef>
              <c:f>'2. Røntgenrør m.m.'!$H$186</c:f>
              <c:strCache>
                <c:ptCount val="1"/>
                <c:pt idx="0">
                  <c:v>W-Ag</c:v>
                </c:pt>
              </c:strCache>
            </c:strRef>
          </c:tx>
          <c:spPr>
            <a:ln w="28575">
              <a:noFill/>
            </a:ln>
          </c:spPr>
          <c:xVal>
            <c:numRef>
              <c:f>'2. Røntgenrør m.m.'!$B$191:$B$202</c:f>
              <c:numCache>
                <c:formatCode>General</c:formatCode>
                <c:ptCount val="12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</c:numCache>
            </c:numRef>
          </c:xVal>
          <c:yVal>
            <c:numRef>
              <c:f>'2. Røntgenrør m.m.'!$H$191:$H$202</c:f>
              <c:numCache>
                <c:formatCode>0.000</c:formatCode>
                <c:ptCount val="12"/>
                <c:pt idx="0">
                  <c:v>0.35</c:v>
                </c:pt>
                <c:pt idx="1">
                  <c:v>0.36</c:v>
                </c:pt>
                <c:pt idx="2">
                  <c:v>0.37</c:v>
                </c:pt>
                <c:pt idx="3">
                  <c:v>0.38</c:v>
                </c:pt>
                <c:pt idx="4">
                  <c:v>0.39</c:v>
                </c:pt>
                <c:pt idx="5">
                  <c:v>0.4</c:v>
                </c:pt>
                <c:pt idx="6">
                  <c:v>0.41</c:v>
                </c:pt>
                <c:pt idx="7">
                  <c:v>0.42</c:v>
                </c:pt>
                <c:pt idx="8">
                  <c:v>0.43</c:v>
                </c:pt>
                <c:pt idx="9">
                  <c:v>0.44</c:v>
                </c:pt>
                <c:pt idx="10">
                  <c:v>0.45</c:v>
                </c:pt>
                <c:pt idx="11">
                  <c:v>0.46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E2-4FCA-9FAB-3F2653C8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348344"/>
        <c:axId val="501346384"/>
      </c:scatterChart>
      <c:valAx>
        <c:axId val="501348344"/>
        <c:scaling>
          <c:orientation val="minMax"/>
          <c:max val="4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U</a:t>
                </a:r>
                <a:r>
                  <a:rPr lang="en-US"/>
                  <a:t> [kV]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01346384"/>
        <c:crosses val="autoZero"/>
        <c:crossBetween val="midCat"/>
        <c:majorUnit val="5"/>
      </c:valAx>
      <c:valAx>
        <c:axId val="501346384"/>
        <c:scaling>
          <c:orientation val="minMax"/>
          <c:max val="0.70000000000000007"/>
          <c:min val="0.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HVL [mm Al]</a:t>
                </a:r>
              </a:p>
            </c:rich>
          </c:tx>
          <c:overlay val="0"/>
        </c:title>
        <c:numFmt formatCode="#,##0.00" sourceLinked="0"/>
        <c:majorTickMark val="none"/>
        <c:minorTickMark val="none"/>
        <c:tickLblPos val="nextTo"/>
        <c:crossAx val="50134834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i="0"/>
            </a:pPr>
            <a:r>
              <a:rPr lang="en-US" sz="1200" i="0"/>
              <a:t>4.1 Detektor-respons funktion MPV</a:t>
            </a:r>
          </a:p>
        </c:rich>
      </c:tx>
      <c:layout>
        <c:manualLayout>
          <c:xMode val="edge"/>
          <c:yMode val="edge"/>
          <c:x val="0.26903746705937615"/>
          <c:y val="3.478260869565217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MPV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9559887307596711"/>
                  <c:y val="-0.11498558332382365"/>
                </c:manualLayout>
              </c:layout>
              <c:numFmt formatCode="General" sourceLinked="0"/>
            </c:trendlineLbl>
          </c:trendline>
          <c:xVal>
            <c:numRef>
              <c:f>'4. DR-detektor'!$E$43:$E$48</c:f>
              <c:numCache>
                <c:formatCode>0.000</c:formatCode>
                <c:ptCount val="6"/>
                <c:pt idx="0">
                  <c:v>0.32112296408317581</c:v>
                </c:pt>
                <c:pt idx="1">
                  <c:v>1.0275934850661625</c:v>
                </c:pt>
                <c:pt idx="2">
                  <c:v>2.0230746737240075</c:v>
                </c:pt>
                <c:pt idx="3">
                  <c:v>3.2112296408317582</c:v>
                </c:pt>
                <c:pt idx="4">
                  <c:v>5.137967425330813</c:v>
                </c:pt>
                <c:pt idx="5">
                  <c:v>6.4224592816635164</c:v>
                </c:pt>
              </c:numCache>
            </c:numRef>
          </c:xVal>
          <c:yVal>
            <c:numRef>
              <c:f>'4. DR-detektor'!$C$43:$C$48</c:f>
              <c:numCache>
                <c:formatCode>0</c:formatCode>
                <c:ptCount val="6"/>
                <c:pt idx="0">
                  <c:v>83</c:v>
                </c:pt>
                <c:pt idx="1">
                  <c:v>155.6</c:v>
                </c:pt>
                <c:pt idx="2">
                  <c:v>256.3</c:v>
                </c:pt>
                <c:pt idx="3">
                  <c:v>380.8</c:v>
                </c:pt>
                <c:pt idx="4">
                  <c:v>580.29999999999995</c:v>
                </c:pt>
                <c:pt idx="5">
                  <c:v>712.5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1-41CE-9E30-D57C3EF7D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346776"/>
        <c:axId val="247345472"/>
      </c:scatterChart>
      <c:valAx>
        <c:axId val="501346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ESD mGy</a:t>
                </a:r>
              </a:p>
            </c:rich>
          </c:tx>
          <c:layout>
            <c:manualLayout>
              <c:xMode val="edge"/>
              <c:yMode val="edge"/>
              <c:x val="0.82025042519229219"/>
              <c:y val="0.81398638213701535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7345472"/>
        <c:crosses val="autoZero"/>
        <c:crossBetween val="midCat"/>
        <c:majorUnit val="1"/>
      </c:valAx>
      <c:valAx>
        <c:axId val="2473454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i="1"/>
                </a:pPr>
                <a:r>
                  <a:rPr lang="en-US" i="1"/>
                  <a:t>MPV</a:t>
                </a:r>
              </a:p>
            </c:rich>
          </c:tx>
          <c:layout>
            <c:manualLayout>
              <c:xMode val="edge"/>
              <c:yMode val="edge"/>
              <c:x val="5.6399895173165196E-2"/>
              <c:y val="5.1546121952147285E-2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50134677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i="0"/>
            </a:pPr>
            <a:r>
              <a:rPr lang="en-US" sz="1200" i="0"/>
              <a:t>4.2 Detektor-respons funktion SD </a:t>
            </a:r>
            <a:r>
              <a:rPr lang="en-US" sz="1200" i="0" baseline="30000"/>
              <a:t>2</a:t>
            </a:r>
          </a:p>
        </c:rich>
      </c:tx>
      <c:layout>
        <c:manualLayout>
          <c:xMode val="edge"/>
          <c:yMode val="edge"/>
          <c:x val="0.23400892288081582"/>
          <c:y val="3.448274821771255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SD2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7780862478232285"/>
                  <c:y val="-0.15102055962211977"/>
                </c:manualLayout>
              </c:layout>
              <c:numFmt formatCode="General" sourceLinked="0"/>
            </c:trendlineLbl>
          </c:trendline>
          <c:xVal>
            <c:numRef>
              <c:f>'4. DR-detektor'!$E$43:$E$48</c:f>
              <c:numCache>
                <c:formatCode>0.000</c:formatCode>
                <c:ptCount val="6"/>
                <c:pt idx="0">
                  <c:v>0.32112296408317581</c:v>
                </c:pt>
                <c:pt idx="1">
                  <c:v>1.0275934850661625</c:v>
                </c:pt>
                <c:pt idx="2">
                  <c:v>2.0230746737240075</c:v>
                </c:pt>
                <c:pt idx="3">
                  <c:v>3.2112296408317582</c:v>
                </c:pt>
                <c:pt idx="4">
                  <c:v>5.137967425330813</c:v>
                </c:pt>
                <c:pt idx="5">
                  <c:v>6.4224592816635164</c:v>
                </c:pt>
              </c:numCache>
            </c:numRef>
          </c:xVal>
          <c:yVal>
            <c:numRef>
              <c:f>'4. DR-detektor'!$J$43:$J$48</c:f>
              <c:numCache>
                <c:formatCode>General</c:formatCode>
                <c:ptCount val="6"/>
                <c:pt idx="0">
                  <c:v>3.61</c:v>
                </c:pt>
                <c:pt idx="1">
                  <c:v>9.6100000000000012</c:v>
                </c:pt>
                <c:pt idx="2">
                  <c:v>18.489999999999998</c:v>
                </c:pt>
                <c:pt idx="3">
                  <c:v>29.160000000000004</c:v>
                </c:pt>
                <c:pt idx="4">
                  <c:v>46.239999999999995</c:v>
                </c:pt>
                <c:pt idx="5">
                  <c:v>59.290000000000006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2B-462D-BCAE-E1332456E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347432"/>
        <c:axId val="247345864"/>
      </c:scatterChart>
      <c:valAx>
        <c:axId val="247347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ESD mGy</a:t>
                </a:r>
              </a:p>
            </c:rich>
          </c:tx>
          <c:layout>
            <c:manualLayout>
              <c:xMode val="edge"/>
              <c:yMode val="edge"/>
              <c:x val="0.7917785037864532"/>
              <c:y val="0.8189826710257709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7345864"/>
        <c:crosses val="autoZero"/>
        <c:crossBetween val="midCat"/>
      </c:valAx>
      <c:valAx>
        <c:axId val="2473458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i="1"/>
                  <a:t>SD </a:t>
                </a:r>
                <a:r>
                  <a:rPr lang="en-US" baseline="30000"/>
                  <a:t>2</a:t>
                </a:r>
              </a:p>
            </c:rich>
          </c:tx>
          <c:layout>
            <c:manualLayout>
              <c:xMode val="edge"/>
              <c:yMode val="edge"/>
              <c:x val="5.8981346260971679E-2"/>
              <c:y val="4.7478012616843944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4734743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5595269462912462"/>
          <c:y val="0.33783456892449848"/>
          <c:w val="0.21291890070161462"/>
          <c:h val="0.140997375328083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i="0"/>
            </a:pPr>
            <a:r>
              <a:rPr lang="da-DK" sz="1200" i="0"/>
              <a:t>4.1 Detektor-respons funktion MPV</a:t>
            </a:r>
          </a:p>
        </c:rich>
      </c:tx>
      <c:layout>
        <c:manualLayout>
          <c:xMode val="edge"/>
          <c:yMode val="edge"/>
          <c:x val="0.26412202483780906"/>
          <c:y val="2.644003777148253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MPV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945622303724823"/>
                  <c:y val="-0.10632374919140773"/>
                </c:manualLayout>
              </c:layout>
              <c:numFmt formatCode="General" sourceLinked="0"/>
            </c:trendlineLbl>
          </c:trendline>
          <c:xVal>
            <c:numRef>
              <c:f>'4. DR-detektor'!$C$79:$C$84</c:f>
              <c:numCache>
                <c:formatCode>0.000</c:formatCode>
                <c:ptCount val="6"/>
                <c:pt idx="0">
                  <c:v>0.31993893995978168</c:v>
                </c:pt>
                <c:pt idx="1">
                  <c:v>1.0238046078713012</c:v>
                </c:pt>
                <c:pt idx="2">
                  <c:v>2.0156153217466244</c:v>
                </c:pt>
                <c:pt idx="3">
                  <c:v>3.1993893995978167</c:v>
                </c:pt>
                <c:pt idx="4">
                  <c:v>5.1190230393565068</c:v>
                </c:pt>
                <c:pt idx="5">
                  <c:v>6.3987787991956333</c:v>
                </c:pt>
              </c:numCache>
            </c:numRef>
          </c:xVal>
          <c:yVal>
            <c:numRef>
              <c:f>'4. DR-detektor'!$D$79:$D$84</c:f>
              <c:numCache>
                <c:formatCode>0</c:formatCode>
                <c:ptCount val="6"/>
                <c:pt idx="0">
                  <c:v>83</c:v>
                </c:pt>
                <c:pt idx="1">
                  <c:v>155.6</c:v>
                </c:pt>
                <c:pt idx="2">
                  <c:v>256.3</c:v>
                </c:pt>
                <c:pt idx="3">
                  <c:v>380.8</c:v>
                </c:pt>
                <c:pt idx="4">
                  <c:v>580.29999999999995</c:v>
                </c:pt>
                <c:pt idx="5">
                  <c:v>712.5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6A-431D-974B-B7DCC049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347824"/>
        <c:axId val="247346648"/>
      </c:scatterChart>
      <c:valAx>
        <c:axId val="24734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ESD mGy</a:t>
                </a:r>
              </a:p>
            </c:rich>
          </c:tx>
          <c:layout>
            <c:manualLayout>
              <c:xMode val="edge"/>
              <c:yMode val="edge"/>
              <c:x val="0.82568424502777649"/>
              <c:y val="0.8464041994750656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7346648"/>
        <c:crosses val="autoZero"/>
        <c:crossBetween val="midCat"/>
      </c:valAx>
      <c:valAx>
        <c:axId val="2473466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MPV</a:t>
                </a:r>
              </a:p>
            </c:rich>
          </c:tx>
          <c:layout>
            <c:manualLayout>
              <c:xMode val="edge"/>
              <c:yMode val="edge"/>
              <c:x val="7.219966738036239E-2"/>
              <c:y val="3.3098228160573409E-2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24734782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i="0"/>
            </a:pPr>
            <a:r>
              <a:rPr lang="en-US" sz="1200" i="0"/>
              <a:t>4.2 Detektor-respons funktion</a:t>
            </a:r>
            <a:r>
              <a:rPr lang="en-US" sz="1200" i="0" baseline="0"/>
              <a:t> </a:t>
            </a:r>
            <a:r>
              <a:rPr lang="en-US" sz="1200" i="0"/>
              <a:t>SD</a:t>
            </a:r>
            <a:r>
              <a:rPr lang="en-US" sz="1200" i="0" baseline="30000"/>
              <a:t>2</a:t>
            </a:r>
          </a:p>
        </c:rich>
      </c:tx>
      <c:layout>
        <c:manualLayout>
          <c:xMode val="edge"/>
          <c:yMode val="edge"/>
          <c:x val="0.24142493487749059"/>
          <c:y val="3.030303030303030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SD2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8199225944214601"/>
                  <c:y val="-0.15938469339059891"/>
                </c:manualLayout>
              </c:layout>
              <c:numFmt formatCode="General" sourceLinked="0"/>
            </c:trendlineLbl>
          </c:trendline>
          <c:xVal>
            <c:numRef>
              <c:f>'4. DR-detektor'!$C$79:$C$84</c:f>
              <c:numCache>
                <c:formatCode>0.000</c:formatCode>
                <c:ptCount val="6"/>
                <c:pt idx="0">
                  <c:v>0.31993893995978168</c:v>
                </c:pt>
                <c:pt idx="1">
                  <c:v>1.0238046078713012</c:v>
                </c:pt>
                <c:pt idx="2">
                  <c:v>2.0156153217466244</c:v>
                </c:pt>
                <c:pt idx="3">
                  <c:v>3.1993893995978167</c:v>
                </c:pt>
                <c:pt idx="4">
                  <c:v>5.1190230393565068</c:v>
                </c:pt>
                <c:pt idx="5">
                  <c:v>6.3987787991956333</c:v>
                </c:pt>
              </c:numCache>
            </c:numRef>
          </c:xVal>
          <c:yVal>
            <c:numRef>
              <c:f>'4. DR-detektor'!$J$79:$J$84</c:f>
              <c:numCache>
                <c:formatCode>General</c:formatCode>
                <c:ptCount val="6"/>
                <c:pt idx="0">
                  <c:v>3.61</c:v>
                </c:pt>
                <c:pt idx="1">
                  <c:v>9.6100000000000012</c:v>
                </c:pt>
                <c:pt idx="2">
                  <c:v>18.489999999999998</c:v>
                </c:pt>
                <c:pt idx="3">
                  <c:v>29.160000000000004</c:v>
                </c:pt>
                <c:pt idx="4">
                  <c:v>46.239999999999995</c:v>
                </c:pt>
                <c:pt idx="5">
                  <c:v>59.290000000000006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9B-4596-A55B-97C4C652A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348608"/>
        <c:axId val="247345080"/>
      </c:scatterChart>
      <c:valAx>
        <c:axId val="24734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ESD mGy</a:t>
                </a:r>
              </a:p>
            </c:rich>
          </c:tx>
          <c:layout>
            <c:manualLayout>
              <c:xMode val="edge"/>
              <c:yMode val="edge"/>
              <c:x val="0.79558620144233394"/>
              <c:y val="0.8176533047005487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47345080"/>
        <c:crosses val="autoZero"/>
        <c:crossBetween val="midCat"/>
      </c:valAx>
      <c:valAx>
        <c:axId val="2473450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SD</a:t>
                </a:r>
                <a:r>
                  <a:rPr lang="en-US" baseline="30000"/>
                  <a:t>2</a:t>
                </a:r>
              </a:p>
            </c:rich>
          </c:tx>
          <c:layout>
            <c:manualLayout>
              <c:xMode val="edge"/>
              <c:yMode val="edge"/>
              <c:x val="7.8892200621814929E-2"/>
              <c:y val="3.677881173944166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4734860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i="1"/>
            </a:pPr>
            <a:r>
              <a:rPr lang="en-US" sz="1400" i="1"/>
              <a:t>AGD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AGD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'7. Referencedosimetri'!$B$29:$B$35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</c:numCache>
            </c:numRef>
          </c:xVal>
          <c:yVal>
            <c:numRef>
              <c:f>'7. Referencedosimetri'!$I$29:$I$35</c:f>
              <c:numCache>
                <c:formatCode>0.00</c:formatCode>
                <c:ptCount val="7"/>
                <c:pt idx="0">
                  <c:v>0.38059973290370713</c:v>
                </c:pt>
                <c:pt idx="1">
                  <c:v>0.54225259439917517</c:v>
                </c:pt>
                <c:pt idx="2">
                  <c:v>0.80673287488630163</c:v>
                </c:pt>
                <c:pt idx="3">
                  <c:v>1.0073354444646405</c:v>
                </c:pt>
                <c:pt idx="4">
                  <c:v>1.2750792497132872</c:v>
                </c:pt>
                <c:pt idx="5">
                  <c:v>1.8833990647121719</c:v>
                </c:pt>
                <c:pt idx="6">
                  <c:v>2.3865582792108198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0C-42B2-90A1-A3F511730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450304"/>
        <c:axId val="497451088"/>
      </c:scatterChart>
      <c:scatterChart>
        <c:scatterStyle val="smoothMarker"/>
        <c:varyColors val="0"/>
        <c:ser>
          <c:idx val="1"/>
          <c:order val="1"/>
          <c:tx>
            <c:v>Anbefalet</c:v>
          </c:tx>
          <c:spPr>
            <a:ln w="25400">
              <a:solidFill>
                <a:srgbClr val="00B050"/>
              </a:solidFill>
              <a:prstDash val="sysDash"/>
            </a:ln>
          </c:spPr>
          <c:marker>
            <c:symbol val="none"/>
          </c:marker>
          <c:xVal>
            <c:numRef>
              <c:f>'7. Referencedosimetri'!$B$29:$B$35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</c:numCache>
            </c:numRef>
          </c:xVal>
          <c:yVal>
            <c:numRef>
              <c:f>'7. Referencedosimetri'!$J$29:$J$35</c:f>
              <c:numCache>
                <c:formatCode>0.0</c:formatCode>
                <c:ptCount val="7"/>
                <c:pt idx="0">
                  <c:v>0.8</c:v>
                </c:pt>
                <c:pt idx="1">
                  <c:v>1</c:v>
                </c:pt>
                <c:pt idx="2">
                  <c:v>1.6</c:v>
                </c:pt>
                <c:pt idx="3">
                  <c:v>2</c:v>
                </c:pt>
                <c:pt idx="4">
                  <c:v>2.4</c:v>
                </c:pt>
                <c:pt idx="5">
                  <c:v>3.6</c:v>
                </c:pt>
                <c:pt idx="6">
                  <c:v>5.0999999999999996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0C-42B2-90A1-A3F5117309D9}"/>
            </c:ext>
          </c:extLst>
        </c:ser>
        <c:ser>
          <c:idx val="2"/>
          <c:order val="2"/>
          <c:tx>
            <c:v>Maksimum</c:v>
          </c:tx>
          <c:spPr>
            <a:ln w="2540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'7. Referencedosimetri'!$B$29:$B$35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45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</c:numCache>
            </c:numRef>
          </c:xVal>
          <c:yVal>
            <c:numRef>
              <c:f>'7. Referencedosimetri'!$K$29:$K$35</c:f>
              <c:numCache>
                <c:formatCode>0.0</c:formatCode>
                <c:ptCount val="7"/>
                <c:pt idx="0">
                  <c:v>1.2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4.5</c:v>
                </c:pt>
                <c:pt idx="6">
                  <c:v>6.5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A0C-42B2-90A1-A3F511730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450304"/>
        <c:axId val="497451088"/>
      </c:scatterChart>
      <c:valAx>
        <c:axId val="497450304"/>
        <c:scaling>
          <c:orientation val="minMax"/>
          <c:max val="80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PMMA [</a:t>
                </a:r>
                <a:r>
                  <a:rPr lang="en-US" sz="1000" b="1" i="0" u="none" strike="noStrike" baseline="0">
                    <a:effectLst/>
                  </a:rPr>
                  <a:t>mm </a:t>
                </a:r>
                <a:r>
                  <a:rPr lang="en-US"/>
                  <a:t>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7451088"/>
        <c:crosses val="autoZero"/>
        <c:crossBetween val="midCat"/>
      </c:valAx>
      <c:valAx>
        <c:axId val="497451088"/>
        <c:scaling>
          <c:orientation val="minMax"/>
          <c:max val="7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 mGy</a:t>
                </a:r>
              </a:p>
            </c:rich>
          </c:tx>
          <c:layout>
            <c:manualLayout>
              <c:xMode val="edge"/>
              <c:yMode val="edge"/>
              <c:x val="6.1111111111111109E-2"/>
              <c:y val="5.2351268591426074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9745030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7316</xdr:colOff>
      <xdr:row>22</xdr:row>
      <xdr:rowOff>158612</xdr:rowOff>
    </xdr:from>
    <xdr:to>
      <xdr:col>13</xdr:col>
      <xdr:colOff>533399</xdr:colOff>
      <xdr:row>37</xdr:row>
      <xdr:rowOff>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604353</xdr:colOff>
      <xdr:row>75</xdr:row>
      <xdr:rowOff>7039</xdr:rowOff>
    </xdr:from>
    <xdr:to>
      <xdr:col>16</xdr:col>
      <xdr:colOff>295274</xdr:colOff>
      <xdr:row>88</xdr:row>
      <xdr:rowOff>9525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123</xdr:row>
      <xdr:rowOff>185736</xdr:rowOff>
    </xdr:from>
    <xdr:to>
      <xdr:col>8</xdr:col>
      <xdr:colOff>447675</xdr:colOff>
      <xdr:row>139</xdr:row>
      <xdr:rowOff>133349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190500</xdr:colOff>
      <xdr:row>180</xdr:row>
      <xdr:rowOff>19049</xdr:rowOff>
    </xdr:from>
    <xdr:to>
      <xdr:col>17</xdr:col>
      <xdr:colOff>571500</xdr:colOff>
      <xdr:row>202</xdr:row>
      <xdr:rowOff>28575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40</xdr:row>
      <xdr:rowOff>190499</xdr:rowOff>
    </xdr:from>
    <xdr:to>
      <xdr:col>20</xdr:col>
      <xdr:colOff>361950</xdr:colOff>
      <xdr:row>51</xdr:row>
      <xdr:rowOff>28575</xdr:rowOff>
    </xdr:to>
    <xdr:grpSp>
      <xdr:nvGrpSpPr>
        <xdr:cNvPr id="66" name="Gruppe 65"/>
        <xdr:cNvGrpSpPr/>
      </xdr:nvGrpSpPr>
      <xdr:grpSpPr>
        <a:xfrm>
          <a:off x="9296400" y="8086724"/>
          <a:ext cx="4457700" cy="1933576"/>
          <a:chOff x="0" y="0"/>
          <a:chExt cx="4478695" cy="1629410"/>
        </a:xfrm>
      </xdr:grpSpPr>
      <xdr:grpSp>
        <xdr:nvGrpSpPr>
          <xdr:cNvPr id="67" name="Gruppe 66"/>
          <xdr:cNvGrpSpPr/>
        </xdr:nvGrpSpPr>
        <xdr:grpSpPr>
          <a:xfrm>
            <a:off x="0" y="0"/>
            <a:ext cx="2892985" cy="1629410"/>
            <a:chOff x="-79513" y="1423284"/>
            <a:chExt cx="2892985" cy="1629410"/>
          </a:xfrm>
        </xdr:grpSpPr>
        <xdr:sp macro="" textlink="">
          <xdr:nvSpPr>
            <xdr:cNvPr id="83" name="Rektangel 82"/>
            <xdr:cNvSpPr>
              <a:spLocks noChangeArrowheads="1"/>
            </xdr:cNvSpPr>
          </xdr:nvSpPr>
          <xdr:spPr bwMode="auto">
            <a:xfrm>
              <a:off x="-79513" y="1423284"/>
              <a:ext cx="2892985" cy="1629410"/>
            </a:xfrm>
            <a:prstGeom prst="rect">
              <a:avLst/>
            </a:prstGeom>
            <a:solidFill>
              <a:sysClr val="window" lastClr="FFFFFF"/>
            </a:solidFill>
            <a:ln w="12700">
              <a:solidFill>
                <a:sysClr val="windowText" lastClr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84" name="Rektangel 83"/>
            <xdr:cNvSpPr>
              <a:spLocks noChangeArrowheads="1"/>
            </xdr:cNvSpPr>
          </xdr:nvSpPr>
          <xdr:spPr bwMode="auto">
            <a:xfrm>
              <a:off x="302075" y="1685677"/>
              <a:ext cx="2155088" cy="1303440"/>
            </a:xfrm>
            <a:prstGeom prst="rect">
              <a:avLst/>
            </a:prstGeom>
            <a:noFill/>
            <a:ln w="25400">
              <a:solidFill>
                <a:srgbClr val="5B9BD5">
                  <a:lumMod val="50000"/>
                </a:srgbClr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85" name="Rektangel 84"/>
            <xdr:cNvSpPr>
              <a:spLocks noChangeArrowheads="1"/>
            </xdr:cNvSpPr>
          </xdr:nvSpPr>
          <xdr:spPr bwMode="auto">
            <a:xfrm>
              <a:off x="373711" y="1781093"/>
              <a:ext cx="2006655" cy="1192240"/>
            </a:xfrm>
            <a:prstGeom prst="rect">
              <a:avLst/>
            </a:prstGeom>
            <a:solidFill>
              <a:srgbClr val="FFFF00">
                <a:alpha val="30000"/>
              </a:srgbClr>
            </a:solidFill>
            <a:ln w="3175">
              <a:solidFill>
                <a:sysClr val="windowText" lastClr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</xdr:grpSp>
      <xdr:grpSp>
        <xdr:nvGrpSpPr>
          <xdr:cNvPr id="68" name="Gruppe 67"/>
          <xdr:cNvGrpSpPr/>
        </xdr:nvGrpSpPr>
        <xdr:grpSpPr>
          <a:xfrm>
            <a:off x="135173" y="1296063"/>
            <a:ext cx="2585720" cy="162560"/>
            <a:chOff x="-32255" y="198554"/>
            <a:chExt cx="2585982" cy="162765"/>
          </a:xfrm>
        </xdr:grpSpPr>
        <xdr:sp macro="" textlink="">
          <xdr:nvSpPr>
            <xdr:cNvPr id="78" name="Rektangel 77"/>
            <xdr:cNvSpPr>
              <a:spLocks noChangeArrowheads="1"/>
            </xdr:cNvSpPr>
          </xdr:nvSpPr>
          <xdr:spPr bwMode="auto">
            <a:xfrm>
              <a:off x="-32255" y="198554"/>
              <a:ext cx="2585982" cy="162765"/>
            </a:xfrm>
            <a:prstGeom prst="rect">
              <a:avLst/>
            </a:prstGeom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ysClr val="windowText" lastClr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  <xdr:cxnSp macro="">
          <xdr:nvCxnSpPr>
            <xdr:cNvPr id="79" name="Lige forbindelse 78"/>
            <xdr:cNvCxnSpPr>
              <a:cxnSpLocks noChangeShapeType="1"/>
            </xdr:cNvCxnSpPr>
          </xdr:nvCxnSpPr>
          <xdr:spPr bwMode="auto">
            <a:xfrm flipV="1">
              <a:off x="2369495" y="206735"/>
              <a:ext cx="0" cy="137196"/>
            </a:xfrm>
            <a:prstGeom prst="line">
              <a:avLst/>
            </a:prstGeom>
            <a:noFill/>
            <a:ln w="25400">
              <a:solidFill>
                <a:srgbClr val="FF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80" name="Lige forbindelse 79"/>
            <xdr:cNvCxnSpPr>
              <a:cxnSpLocks noChangeShapeType="1"/>
            </xdr:cNvCxnSpPr>
          </xdr:nvCxnSpPr>
          <xdr:spPr bwMode="auto">
            <a:xfrm flipV="1">
              <a:off x="2284483" y="214706"/>
              <a:ext cx="0" cy="137196"/>
            </a:xfrm>
            <a:prstGeom prst="line">
              <a:avLst/>
            </a:prstGeom>
            <a:noFill/>
            <a:ln w="25400">
              <a:solidFill>
                <a:srgbClr val="FF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81" name="Lige forbindelse 80"/>
            <xdr:cNvCxnSpPr>
              <a:cxnSpLocks noChangeShapeType="1"/>
            </xdr:cNvCxnSpPr>
          </xdr:nvCxnSpPr>
          <xdr:spPr bwMode="auto">
            <a:xfrm flipV="1">
              <a:off x="214685" y="206735"/>
              <a:ext cx="0" cy="135918"/>
            </a:xfrm>
            <a:prstGeom prst="line">
              <a:avLst/>
            </a:prstGeom>
            <a:noFill/>
            <a:ln w="25400">
              <a:solidFill>
                <a:srgbClr val="FF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82" name="Lige forbindelse 81"/>
            <xdr:cNvCxnSpPr>
              <a:cxnSpLocks noChangeShapeType="1"/>
            </xdr:cNvCxnSpPr>
          </xdr:nvCxnSpPr>
          <xdr:spPr bwMode="auto">
            <a:xfrm flipV="1">
              <a:off x="270759" y="198783"/>
              <a:ext cx="0" cy="135918"/>
            </a:xfrm>
            <a:prstGeom prst="line">
              <a:avLst/>
            </a:prstGeom>
            <a:noFill/>
            <a:ln w="25400">
              <a:solidFill>
                <a:srgbClr val="FF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grpSp>
        <xdr:nvGrpSpPr>
          <xdr:cNvPr id="69" name="Gruppe 68"/>
          <xdr:cNvGrpSpPr/>
        </xdr:nvGrpSpPr>
        <xdr:grpSpPr>
          <a:xfrm>
            <a:off x="2456953" y="39757"/>
            <a:ext cx="2021742" cy="1458420"/>
            <a:chOff x="0" y="0"/>
            <a:chExt cx="2021742" cy="1458420"/>
          </a:xfrm>
        </xdr:grpSpPr>
        <xdr:sp macro="" textlink="">
          <xdr:nvSpPr>
            <xdr:cNvPr id="70" name="Text Box 68"/>
            <xdr:cNvSpPr txBox="1">
              <a:spLocks noChangeArrowheads="1"/>
            </xdr:cNvSpPr>
          </xdr:nvSpPr>
          <xdr:spPr bwMode="auto">
            <a:xfrm>
              <a:off x="715618" y="675861"/>
              <a:ext cx="580945" cy="249822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ts val="1300"/>
                </a:lnSpc>
                <a:spcAft>
                  <a:spcPts val="1300"/>
                </a:spcAft>
              </a:pPr>
              <a:r>
                <a:rPr lang="da-DK" sz="9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rPr>
                <a:t>Lysfelt</a:t>
              </a:r>
              <a:endParaRPr lang="da-DK" sz="10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71" name="Text Box 69"/>
            <xdr:cNvSpPr txBox="1">
              <a:spLocks noChangeArrowheads="1"/>
            </xdr:cNvSpPr>
          </xdr:nvSpPr>
          <xdr:spPr bwMode="auto">
            <a:xfrm>
              <a:off x="715618" y="373711"/>
              <a:ext cx="847387" cy="249822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ts val="1300"/>
                </a:lnSpc>
                <a:spcAft>
                  <a:spcPts val="1300"/>
                </a:spcAft>
              </a:pPr>
              <a:r>
                <a:rPr lang="da-DK" sz="9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rPr>
                <a:t>Røntgenfelt</a:t>
              </a:r>
              <a:endParaRPr lang="da-DK" sz="10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72" name="Text Box 65"/>
            <xdr:cNvSpPr txBox="1">
              <a:spLocks noChangeArrowheads="1"/>
            </xdr:cNvSpPr>
          </xdr:nvSpPr>
          <xdr:spPr bwMode="auto">
            <a:xfrm>
              <a:off x="667910" y="1208598"/>
              <a:ext cx="1353832" cy="249822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ts val="1300"/>
                </a:lnSpc>
                <a:spcAft>
                  <a:spcPts val="1300"/>
                </a:spcAft>
              </a:pPr>
              <a:r>
                <a:rPr lang="da-DK" sz="9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rPr>
                <a:t>Røntgentæt lineal</a:t>
              </a:r>
              <a:endParaRPr lang="da-DK" sz="10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73" name="Text Box 66"/>
            <xdr:cNvSpPr txBox="1">
              <a:spLocks noChangeArrowheads="1"/>
            </xdr:cNvSpPr>
          </xdr:nvSpPr>
          <xdr:spPr bwMode="auto">
            <a:xfrm>
              <a:off x="715618" y="0"/>
              <a:ext cx="887564" cy="249723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ts val="1300"/>
                </a:lnSpc>
                <a:spcAft>
                  <a:spcPts val="1300"/>
                </a:spcAft>
              </a:pPr>
              <a:r>
                <a:rPr lang="da-DK" sz="9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rPr>
                <a:t>DR detektor</a:t>
              </a:r>
              <a:endParaRPr lang="da-DK" sz="10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74" name="Lige pilforbindelse 73"/>
            <xdr:cNvCxnSpPr>
              <a:cxnSpLocks noChangeShapeType="1"/>
            </xdr:cNvCxnSpPr>
          </xdr:nvCxnSpPr>
          <xdr:spPr bwMode="auto">
            <a:xfrm flipH="1">
              <a:off x="238541" y="135172"/>
              <a:ext cx="434601" cy="0"/>
            </a:xfrm>
            <a:prstGeom prst="straightConnector1">
              <a:avLst/>
            </a:prstGeom>
            <a:noFill/>
            <a:ln w="12700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arrow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75" name="Lige pilforbindelse 74"/>
            <xdr:cNvCxnSpPr>
              <a:cxnSpLocks noChangeShapeType="1"/>
            </xdr:cNvCxnSpPr>
          </xdr:nvCxnSpPr>
          <xdr:spPr bwMode="auto">
            <a:xfrm flipH="1">
              <a:off x="95416" y="500932"/>
              <a:ext cx="618422" cy="0"/>
            </a:xfrm>
            <a:prstGeom prst="straightConnector1">
              <a:avLst/>
            </a:prstGeom>
            <a:noFill/>
            <a:ln w="12700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arrow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76" name="Lige pilforbindelse 75"/>
            <xdr:cNvCxnSpPr>
              <a:cxnSpLocks noChangeShapeType="1"/>
            </xdr:cNvCxnSpPr>
          </xdr:nvCxnSpPr>
          <xdr:spPr bwMode="auto">
            <a:xfrm flipH="1">
              <a:off x="0" y="811033"/>
              <a:ext cx="720000" cy="0"/>
            </a:xfrm>
            <a:prstGeom prst="straightConnector1">
              <a:avLst/>
            </a:prstGeom>
            <a:noFill/>
            <a:ln w="12700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arrow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77" name="Lige pilforbindelse 76"/>
            <xdr:cNvCxnSpPr>
              <a:cxnSpLocks noChangeShapeType="1"/>
            </xdr:cNvCxnSpPr>
          </xdr:nvCxnSpPr>
          <xdr:spPr bwMode="auto">
            <a:xfrm flipH="1">
              <a:off x="270346" y="1343770"/>
              <a:ext cx="402093" cy="0"/>
            </a:xfrm>
            <a:prstGeom prst="straightConnector1">
              <a:avLst/>
            </a:prstGeom>
            <a:noFill/>
            <a:ln w="12700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arrow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10</xdr:col>
      <xdr:colOff>381000</xdr:colOff>
      <xdr:row>73</xdr:row>
      <xdr:rowOff>1</xdr:rowOff>
    </xdr:from>
    <xdr:to>
      <xdr:col>17</xdr:col>
      <xdr:colOff>499744</xdr:colOff>
      <xdr:row>83</xdr:row>
      <xdr:rowOff>86360</xdr:rowOff>
    </xdr:to>
    <xdr:grpSp>
      <xdr:nvGrpSpPr>
        <xdr:cNvPr id="86" name="Gruppe 85"/>
        <xdr:cNvGrpSpPr/>
      </xdr:nvGrpSpPr>
      <xdr:grpSpPr>
        <a:xfrm>
          <a:off x="7372350" y="14306551"/>
          <a:ext cx="4690744" cy="1991359"/>
          <a:chOff x="0" y="1"/>
          <a:chExt cx="4745355" cy="1991536"/>
        </a:xfrm>
      </xdr:grpSpPr>
      <xdr:grpSp>
        <xdr:nvGrpSpPr>
          <xdr:cNvPr id="87" name="Gruppe 86"/>
          <xdr:cNvGrpSpPr/>
        </xdr:nvGrpSpPr>
        <xdr:grpSpPr>
          <a:xfrm>
            <a:off x="0" y="1"/>
            <a:ext cx="4745355" cy="1758315"/>
            <a:chOff x="0" y="3140766"/>
            <a:chExt cx="4746980" cy="1758876"/>
          </a:xfrm>
        </xdr:grpSpPr>
        <xdr:sp macro="" textlink="">
          <xdr:nvSpPr>
            <xdr:cNvPr id="98" name="Rektangel 97"/>
            <xdr:cNvSpPr>
              <a:spLocks noChangeArrowheads="1"/>
            </xdr:cNvSpPr>
          </xdr:nvSpPr>
          <xdr:spPr bwMode="auto">
            <a:xfrm>
              <a:off x="0" y="3140766"/>
              <a:ext cx="3044890" cy="1629717"/>
            </a:xfrm>
            <a:prstGeom prst="rect">
              <a:avLst/>
            </a:prstGeom>
            <a:solidFill>
              <a:sysClr val="window" lastClr="FFFFFF"/>
            </a:solidFill>
            <a:ln w="12700">
              <a:solidFill>
                <a:sysClr val="windowText" lastClr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99" name="Rektangel 98"/>
            <xdr:cNvSpPr>
              <a:spLocks noChangeArrowheads="1"/>
            </xdr:cNvSpPr>
          </xdr:nvSpPr>
          <xdr:spPr bwMode="auto">
            <a:xfrm>
              <a:off x="365759" y="3379305"/>
              <a:ext cx="2268248" cy="1303685"/>
            </a:xfrm>
            <a:prstGeom prst="rect">
              <a:avLst/>
            </a:prstGeom>
            <a:solidFill>
              <a:sysClr val="window" lastClr="FFFFFF">
                <a:lumMod val="95000"/>
              </a:sysClr>
            </a:solidFill>
            <a:ln w="25400">
              <a:solidFill>
                <a:srgbClr val="5B9BD5">
                  <a:lumMod val="50000"/>
                </a:srgbClr>
              </a:solidFill>
              <a:miter lim="800000"/>
              <a:headEnd/>
              <a:tailEnd/>
            </a:ln>
            <a:extLst/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  <xdr:cxnSp macro="">
          <xdr:nvCxnSpPr>
            <xdr:cNvPr id="100" name="Lige pilforbindelse 99"/>
            <xdr:cNvCxnSpPr>
              <a:cxnSpLocks noChangeShapeType="1"/>
            </xdr:cNvCxnSpPr>
          </xdr:nvCxnSpPr>
          <xdr:spPr bwMode="auto">
            <a:xfrm flipH="1">
              <a:off x="2814762" y="3291841"/>
              <a:ext cx="457413" cy="0"/>
            </a:xfrm>
            <a:prstGeom prst="straightConnector1">
              <a:avLst/>
            </a:prstGeom>
            <a:noFill/>
            <a:ln w="12700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arrow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01" name="Lige pilforbindelse 100"/>
            <xdr:cNvCxnSpPr>
              <a:cxnSpLocks noChangeShapeType="1"/>
            </xdr:cNvCxnSpPr>
          </xdr:nvCxnSpPr>
          <xdr:spPr bwMode="auto">
            <a:xfrm flipH="1">
              <a:off x="2634059" y="3586038"/>
              <a:ext cx="650882" cy="0"/>
            </a:xfrm>
            <a:prstGeom prst="straightConnector1">
              <a:avLst/>
            </a:prstGeom>
            <a:noFill/>
            <a:ln w="12700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arrow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02" name="Lige pilforbindelse 101"/>
            <xdr:cNvCxnSpPr>
              <a:cxnSpLocks noChangeAspect="1" noChangeShapeType="1"/>
            </xdr:cNvCxnSpPr>
          </xdr:nvCxnSpPr>
          <xdr:spPr bwMode="auto">
            <a:xfrm flipH="1">
              <a:off x="1280160" y="3903599"/>
              <a:ext cx="2017304" cy="0"/>
            </a:xfrm>
            <a:prstGeom prst="straightConnector1">
              <a:avLst/>
            </a:prstGeom>
            <a:noFill/>
            <a:ln w="12700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arrow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03" name="Lige pilforbindelse 102"/>
            <xdr:cNvCxnSpPr>
              <a:cxnSpLocks noChangeShapeType="1"/>
            </xdr:cNvCxnSpPr>
          </xdr:nvCxnSpPr>
          <xdr:spPr bwMode="auto">
            <a:xfrm flipH="1">
              <a:off x="1987826" y="4507822"/>
              <a:ext cx="1296843" cy="8518"/>
            </a:xfrm>
            <a:prstGeom prst="straightConnector1">
              <a:avLst/>
            </a:prstGeom>
            <a:noFill/>
            <a:ln w="12700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 type="arrow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04" name="Text Box 66"/>
            <xdr:cNvSpPr txBox="1">
              <a:spLocks noChangeArrowheads="1"/>
            </xdr:cNvSpPr>
          </xdr:nvSpPr>
          <xdr:spPr bwMode="auto">
            <a:xfrm>
              <a:off x="3297463" y="3172171"/>
              <a:ext cx="934150" cy="249765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ts val="1300"/>
                </a:lnSpc>
                <a:spcAft>
                  <a:spcPts val="1300"/>
                </a:spcAft>
              </a:pPr>
              <a:r>
                <a:rPr lang="da-DK" sz="9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rPr>
                <a:t>DR detektor</a:t>
              </a:r>
              <a:endParaRPr lang="da-DK" sz="10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05" name="Text Box 69"/>
            <xdr:cNvSpPr txBox="1">
              <a:spLocks noChangeArrowheads="1"/>
            </xdr:cNvSpPr>
          </xdr:nvSpPr>
          <xdr:spPr bwMode="auto">
            <a:xfrm>
              <a:off x="3315942" y="3458900"/>
              <a:ext cx="891865" cy="249864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ts val="1300"/>
                </a:lnSpc>
                <a:spcAft>
                  <a:spcPts val="1300"/>
                </a:spcAft>
              </a:pPr>
              <a:r>
                <a:rPr lang="da-DK" sz="9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rPr>
                <a:t>Røntgenfelt</a:t>
              </a:r>
              <a:endParaRPr lang="da-DK" sz="10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06" name="Text Box 65"/>
            <xdr:cNvSpPr txBox="1">
              <a:spLocks noChangeArrowheads="1"/>
            </xdr:cNvSpPr>
          </xdr:nvSpPr>
          <xdr:spPr bwMode="auto">
            <a:xfrm>
              <a:off x="3315702" y="3777060"/>
              <a:ext cx="1280067" cy="2498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ts val="1300"/>
                </a:lnSpc>
                <a:spcAft>
                  <a:spcPts val="1300"/>
                </a:spcAft>
              </a:pPr>
              <a:r>
                <a:rPr lang="da-DK" sz="9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rPr>
                <a:t>Røntgentæt lineal</a:t>
              </a:r>
              <a:endParaRPr lang="da-DK" sz="10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07" name="Text Box 65"/>
            <xdr:cNvSpPr txBox="1">
              <a:spLocks noChangeArrowheads="1"/>
            </xdr:cNvSpPr>
          </xdr:nvSpPr>
          <xdr:spPr bwMode="auto">
            <a:xfrm>
              <a:off x="3284940" y="4381803"/>
              <a:ext cx="1462040" cy="249864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ts val="1300"/>
                </a:lnSpc>
                <a:spcAft>
                  <a:spcPts val="1300"/>
                </a:spcAft>
              </a:pPr>
              <a:r>
                <a:rPr lang="da-DK" sz="9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rPr>
                <a:t>Røntgenfølsom lineal</a:t>
              </a:r>
              <a:endParaRPr lang="da-DK" sz="10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08" name="Text Box 65"/>
            <xdr:cNvSpPr txBox="1">
              <a:spLocks noChangeArrowheads="1"/>
            </xdr:cNvSpPr>
          </xdr:nvSpPr>
          <xdr:spPr bwMode="auto">
            <a:xfrm>
              <a:off x="3297489" y="4604602"/>
              <a:ext cx="1240829" cy="2498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>
                <a:lnSpc>
                  <a:spcPts val="1300"/>
                </a:lnSpc>
                <a:spcAft>
                  <a:spcPts val="1300"/>
                </a:spcAft>
              </a:pPr>
              <a:r>
                <a:rPr lang="da-DK" sz="9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rPr>
                <a:t>d</a:t>
              </a:r>
              <a:r>
                <a:rPr lang="da-DK" sz="900" spc="-10" baseline="-25000">
                  <a:effectLst/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rPr>
                <a:t>thoraxkant</a:t>
              </a:r>
              <a:r>
                <a:rPr lang="da-DK" sz="9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rPr>
                <a:t>  ≤</a:t>
              </a:r>
              <a:r>
                <a:rPr lang="da-DK" sz="9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rPr>
                <a:t> 5 mm</a:t>
              </a:r>
              <a:endParaRPr lang="da-DK" sz="10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09" name="Lige forbindelse 108"/>
            <xdr:cNvCxnSpPr/>
          </xdr:nvCxnSpPr>
          <xdr:spPr>
            <a:xfrm flipV="1">
              <a:off x="2728193" y="4763177"/>
              <a:ext cx="587749" cy="200"/>
            </a:xfrm>
            <a:prstGeom prst="line">
              <a:avLst/>
            </a:prstGeom>
            <a:noFill/>
            <a:ln w="6350" cap="flat" cmpd="sng" algn="ctr">
              <a:solidFill>
                <a:srgbClr val="FF0000"/>
              </a:solidFill>
              <a:prstDash val="dash"/>
              <a:miter lim="800000"/>
            </a:ln>
            <a:effectLst/>
          </xdr:spPr>
        </xdr:cxnSp>
        <xdr:cxnSp macro="">
          <xdr:nvCxnSpPr>
            <xdr:cNvPr id="110" name="Lige forbindelse 109"/>
            <xdr:cNvCxnSpPr/>
          </xdr:nvCxnSpPr>
          <xdr:spPr>
            <a:xfrm>
              <a:off x="2645578" y="4682787"/>
              <a:ext cx="651885" cy="0"/>
            </a:xfrm>
            <a:prstGeom prst="line">
              <a:avLst/>
            </a:prstGeom>
            <a:noFill/>
            <a:ln w="6350" cap="flat" cmpd="sng" algn="ctr">
              <a:solidFill>
                <a:srgbClr val="FF0000"/>
              </a:solidFill>
              <a:prstDash val="dash"/>
              <a:miter lim="800000"/>
            </a:ln>
            <a:effectLst/>
          </xdr:spPr>
        </xdr:cxnSp>
        <xdr:sp macro="" textlink="">
          <xdr:nvSpPr>
            <xdr:cNvPr id="111" name="Rektangel 110"/>
            <xdr:cNvSpPr>
              <a:spLocks noChangeArrowheads="1"/>
            </xdr:cNvSpPr>
          </xdr:nvSpPr>
          <xdr:spPr bwMode="auto">
            <a:xfrm>
              <a:off x="1097280" y="3172571"/>
              <a:ext cx="192619" cy="1727071"/>
            </a:xfrm>
            <a:prstGeom prst="rect">
              <a:avLst/>
            </a:prstGeom>
            <a:solidFill>
              <a:srgbClr val="5B9BD5">
                <a:lumMod val="40000"/>
                <a:lumOff val="60000"/>
              </a:srgbClr>
            </a:solidFill>
            <a:ln w="12700">
              <a:solidFill>
                <a:sysClr val="windowText" lastClr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  <xdr:cxnSp macro="">
          <xdr:nvCxnSpPr>
            <xdr:cNvPr id="112" name="Lige forbindelse 111"/>
            <xdr:cNvCxnSpPr>
              <a:cxnSpLocks noChangeShapeType="1"/>
            </xdr:cNvCxnSpPr>
          </xdr:nvCxnSpPr>
          <xdr:spPr bwMode="auto">
            <a:xfrm>
              <a:off x="1105231" y="4770133"/>
              <a:ext cx="192795" cy="0"/>
            </a:xfrm>
            <a:prstGeom prst="line">
              <a:avLst/>
            </a:prstGeom>
            <a:noFill/>
            <a:ln w="25400">
              <a:solidFill>
                <a:srgbClr val="FF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grpSp>
        <xdr:nvGrpSpPr>
          <xdr:cNvPr id="88" name="Gruppe 87"/>
          <xdr:cNvGrpSpPr/>
        </xdr:nvGrpSpPr>
        <xdr:grpSpPr>
          <a:xfrm>
            <a:off x="1653871" y="1248355"/>
            <a:ext cx="325864" cy="743182"/>
            <a:chOff x="755587" y="5359311"/>
            <a:chExt cx="326187" cy="743261"/>
          </a:xfrm>
        </xdr:grpSpPr>
        <xdr:sp macro="" textlink="">
          <xdr:nvSpPr>
            <xdr:cNvPr id="89" name="Rektangel 88"/>
            <xdr:cNvSpPr>
              <a:spLocks noChangeArrowheads="1"/>
            </xdr:cNvSpPr>
          </xdr:nvSpPr>
          <xdr:spPr bwMode="auto">
            <a:xfrm>
              <a:off x="755587" y="5359311"/>
              <a:ext cx="326187" cy="743261"/>
            </a:xfrm>
            <a:prstGeom prst="rect">
              <a:avLst/>
            </a:prstGeom>
            <a:solidFill>
              <a:srgbClr val="5B9BD5">
                <a:lumMod val="40000"/>
                <a:lumOff val="60000"/>
              </a:srgbClr>
            </a:solidFill>
            <a:ln w="12700">
              <a:solidFill>
                <a:sysClr val="windowText" lastClr="00000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da-DK"/>
            </a:p>
          </xdr:txBody>
        </xdr:sp>
        <xdr:cxnSp macro="">
          <xdr:nvCxnSpPr>
            <xdr:cNvPr id="90" name="Lige forbindelse 89"/>
            <xdr:cNvCxnSpPr>
              <a:cxnSpLocks noChangeShapeType="1"/>
            </xdr:cNvCxnSpPr>
          </xdr:nvCxnSpPr>
          <xdr:spPr bwMode="auto">
            <a:xfrm>
              <a:off x="803081" y="5438692"/>
              <a:ext cx="215900" cy="0"/>
            </a:xfrm>
            <a:prstGeom prst="line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91" name="Lige forbindelse 90"/>
            <xdr:cNvCxnSpPr>
              <a:cxnSpLocks noChangeShapeType="1"/>
            </xdr:cNvCxnSpPr>
          </xdr:nvCxnSpPr>
          <xdr:spPr bwMode="auto">
            <a:xfrm>
              <a:off x="803081" y="5534107"/>
              <a:ext cx="215265" cy="0"/>
            </a:xfrm>
            <a:prstGeom prst="line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92" name="Lige forbindelse 91"/>
            <xdr:cNvCxnSpPr>
              <a:cxnSpLocks noChangeShapeType="1"/>
            </xdr:cNvCxnSpPr>
          </xdr:nvCxnSpPr>
          <xdr:spPr bwMode="auto">
            <a:xfrm>
              <a:off x="803081" y="5629523"/>
              <a:ext cx="215265" cy="0"/>
            </a:xfrm>
            <a:prstGeom prst="line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93" name="Lige forbindelse 92"/>
            <xdr:cNvCxnSpPr>
              <a:cxnSpLocks noChangeShapeType="1"/>
            </xdr:cNvCxnSpPr>
          </xdr:nvCxnSpPr>
          <xdr:spPr bwMode="auto">
            <a:xfrm>
              <a:off x="803081" y="5732890"/>
              <a:ext cx="215265" cy="0"/>
            </a:xfrm>
            <a:prstGeom prst="line">
              <a:avLst/>
            </a:prstGeom>
            <a:noFill/>
            <a:ln w="25400">
              <a:solidFill>
                <a:srgbClr val="FF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94" name="Lige forbindelse 93"/>
            <xdr:cNvCxnSpPr>
              <a:cxnSpLocks noChangeShapeType="1"/>
            </xdr:cNvCxnSpPr>
          </xdr:nvCxnSpPr>
          <xdr:spPr bwMode="auto">
            <a:xfrm>
              <a:off x="803081" y="6035040"/>
              <a:ext cx="215461" cy="0"/>
            </a:xfrm>
            <a:prstGeom prst="line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95" name="Lige forbindelse 94"/>
            <xdr:cNvCxnSpPr>
              <a:cxnSpLocks noChangeShapeType="1"/>
            </xdr:cNvCxnSpPr>
          </xdr:nvCxnSpPr>
          <xdr:spPr bwMode="auto">
            <a:xfrm>
              <a:off x="803081" y="5931673"/>
              <a:ext cx="215265" cy="0"/>
            </a:xfrm>
            <a:prstGeom prst="line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96" name="Lige forbindelse 95"/>
            <xdr:cNvCxnSpPr>
              <a:cxnSpLocks noChangeShapeType="1"/>
            </xdr:cNvCxnSpPr>
          </xdr:nvCxnSpPr>
          <xdr:spPr bwMode="auto">
            <a:xfrm>
              <a:off x="811033" y="5844208"/>
              <a:ext cx="215900" cy="0"/>
            </a:xfrm>
            <a:prstGeom prst="line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97" name="Lige forbindelse 96"/>
            <xdr:cNvCxnSpPr>
              <a:cxnSpLocks noChangeShapeType="1"/>
            </xdr:cNvCxnSpPr>
          </xdr:nvCxnSpPr>
          <xdr:spPr bwMode="auto">
            <a:xfrm>
              <a:off x="922745" y="5438653"/>
              <a:ext cx="0" cy="596387"/>
            </a:xfrm>
            <a:prstGeom prst="line">
              <a:avLst/>
            </a:prstGeom>
            <a:noFill/>
            <a:ln w="9525">
              <a:solidFill>
                <a:sysClr val="windowText" lastClr="000000">
                  <a:lumMod val="100000"/>
                  <a:lumOff val="0"/>
                </a:sysClr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50</xdr:row>
      <xdr:rowOff>19049</xdr:rowOff>
    </xdr:from>
    <xdr:to>
      <xdr:col>8</xdr:col>
      <xdr:colOff>590550</xdr:colOff>
      <xdr:row>67</xdr:row>
      <xdr:rowOff>66674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200024</xdr:colOff>
      <xdr:row>49</xdr:row>
      <xdr:rowOff>161924</xdr:rowOff>
    </xdr:from>
    <xdr:to>
      <xdr:col>17</xdr:col>
      <xdr:colOff>304799</xdr:colOff>
      <xdr:row>67</xdr:row>
      <xdr:rowOff>47625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</xdr:colOff>
      <xdr:row>86</xdr:row>
      <xdr:rowOff>19049</xdr:rowOff>
    </xdr:from>
    <xdr:to>
      <xdr:col>8</xdr:col>
      <xdr:colOff>581025</xdr:colOff>
      <xdr:row>103</xdr:row>
      <xdr:rowOff>142874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238125</xdr:colOff>
      <xdr:row>86</xdr:row>
      <xdr:rowOff>38100</xdr:rowOff>
    </xdr:from>
    <xdr:to>
      <xdr:col>17</xdr:col>
      <xdr:colOff>419100</xdr:colOff>
      <xdr:row>103</xdr:row>
      <xdr:rowOff>152400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609599</xdr:colOff>
      <xdr:row>162</xdr:row>
      <xdr:rowOff>161925</xdr:rowOff>
    </xdr:from>
    <xdr:to>
      <xdr:col>17</xdr:col>
      <xdr:colOff>438150</xdr:colOff>
      <xdr:row>164</xdr:row>
      <xdr:rowOff>9525</xdr:rowOff>
    </xdr:to>
    <xdr:sp macro="" textlink="">
      <xdr:nvSpPr>
        <xdr:cNvPr id="15" name="Tekstboks 14"/>
        <xdr:cNvSpPr txBox="1"/>
      </xdr:nvSpPr>
      <xdr:spPr>
        <a:xfrm>
          <a:off x="9944099" y="30537150"/>
          <a:ext cx="1047751" cy="228600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R-CC-format</a:t>
          </a:r>
        </a:p>
      </xdr:txBody>
    </xdr:sp>
    <xdr:clientData/>
  </xdr:twoCellAnchor>
  <xdr:twoCellAnchor>
    <xdr:from>
      <xdr:col>6</xdr:col>
      <xdr:colOff>47625</xdr:colOff>
      <xdr:row>208</xdr:row>
      <xdr:rowOff>161925</xdr:rowOff>
    </xdr:from>
    <xdr:to>
      <xdr:col>17</xdr:col>
      <xdr:colOff>123825</xdr:colOff>
      <xdr:row>218</xdr:row>
      <xdr:rowOff>55075</xdr:rowOff>
    </xdr:to>
    <xdr:grpSp>
      <xdr:nvGrpSpPr>
        <xdr:cNvPr id="27" name="Gruppe 26"/>
        <xdr:cNvGrpSpPr/>
      </xdr:nvGrpSpPr>
      <xdr:grpSpPr>
        <a:xfrm>
          <a:off x="3857625" y="40528875"/>
          <a:ext cx="6915150" cy="1798150"/>
          <a:chOff x="3829050" y="48186975"/>
          <a:chExt cx="6210300" cy="1798150"/>
        </a:xfrm>
      </xdr:grpSpPr>
      <xdr:grpSp>
        <xdr:nvGrpSpPr>
          <xdr:cNvPr id="16" name="Gruppe 15"/>
          <xdr:cNvGrpSpPr/>
        </xdr:nvGrpSpPr>
        <xdr:grpSpPr>
          <a:xfrm>
            <a:off x="3829050" y="48186975"/>
            <a:ext cx="6210300" cy="1798150"/>
            <a:chOff x="0" y="0"/>
            <a:chExt cx="12862799" cy="2916086"/>
          </a:xfrm>
        </xdr:grpSpPr>
        <xdr:sp macro="" textlink="">
          <xdr:nvSpPr>
            <xdr:cNvPr id="17" name="Rektangel 16"/>
            <xdr:cNvSpPr/>
          </xdr:nvSpPr>
          <xdr:spPr>
            <a:xfrm>
              <a:off x="0" y="0"/>
              <a:ext cx="4320480" cy="2880320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18" name="Rektangel 17"/>
            <xdr:cNvSpPr/>
          </xdr:nvSpPr>
          <xdr:spPr>
            <a:xfrm>
              <a:off x="0" y="0"/>
              <a:ext cx="2160240" cy="288032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12700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19" name="Rektangel 18"/>
            <xdr:cNvSpPr/>
          </xdr:nvSpPr>
          <xdr:spPr>
            <a:xfrm>
              <a:off x="2160240" y="0"/>
              <a:ext cx="2160240" cy="2880320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  <a:ln w="12700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20" name="Rektangel 19"/>
            <xdr:cNvSpPr/>
          </xdr:nvSpPr>
          <xdr:spPr>
            <a:xfrm>
              <a:off x="1368152" y="720488"/>
              <a:ext cx="1656184" cy="1008112"/>
            </a:xfrm>
            <a:prstGeom prst="rect">
              <a:avLst/>
            </a:prstGeom>
            <a:noFill/>
            <a:ln w="12700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21" name="Rektangel 20"/>
            <xdr:cNvSpPr/>
          </xdr:nvSpPr>
          <xdr:spPr>
            <a:xfrm>
              <a:off x="2417758" y="1188139"/>
              <a:ext cx="432049" cy="360040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da-DK" sz="1800" kern="1200">
                  <a:solidFill>
                    <a:sysClr val="windowText" lastClr="000000"/>
                  </a:solidFill>
                  <a:effectLst/>
                  <a:latin typeface="+mn-lt"/>
                  <a:ea typeface="Times New Roman"/>
                  <a:cs typeface="Times New Roman"/>
                </a:rPr>
                <a:t>2</a:t>
              </a:r>
              <a:endParaRPr lang="da-DK" sz="1200">
                <a:solidFill>
                  <a:sysClr val="windowText" lastClr="000000"/>
                </a:solidFill>
                <a:effectLst/>
                <a:latin typeface="Times New Roman"/>
                <a:ea typeface="Times New Roman"/>
              </a:endParaRPr>
            </a:p>
          </xdr:txBody>
        </xdr:sp>
        <xdr:sp macro="" textlink="">
          <xdr:nvSpPr>
            <xdr:cNvPr id="22" name="Rektangel 21"/>
            <xdr:cNvSpPr/>
          </xdr:nvSpPr>
          <xdr:spPr>
            <a:xfrm>
              <a:off x="1512168" y="1188132"/>
              <a:ext cx="432048" cy="360040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da-DK" sz="1800" kern="1200">
                  <a:solidFill>
                    <a:sysClr val="windowText" lastClr="000000"/>
                  </a:solidFill>
                  <a:effectLst/>
                  <a:latin typeface="+mn-lt"/>
                  <a:ea typeface="Times New Roman"/>
                  <a:cs typeface="Times New Roman"/>
                </a:rPr>
                <a:t>3</a:t>
              </a:r>
              <a:endParaRPr lang="da-DK" sz="1200">
                <a:solidFill>
                  <a:sysClr val="windowText" lastClr="000000"/>
                </a:solidFill>
                <a:effectLst/>
                <a:latin typeface="Times New Roman"/>
                <a:ea typeface="Times New Roman"/>
              </a:endParaRPr>
            </a:p>
          </xdr:txBody>
        </xdr:sp>
        <xdr:sp macro="" textlink="">
          <xdr:nvSpPr>
            <xdr:cNvPr id="23" name="Rektangel 22"/>
            <xdr:cNvSpPr/>
          </xdr:nvSpPr>
          <xdr:spPr>
            <a:xfrm>
              <a:off x="2436981" y="167804"/>
              <a:ext cx="432049" cy="432047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da-DK" sz="1800" kern="1200">
                  <a:solidFill>
                    <a:sysClr val="windowText" lastClr="000000"/>
                  </a:solidFill>
                  <a:effectLst/>
                  <a:ea typeface="Times New Roman"/>
                  <a:cs typeface="Times New Roman"/>
                </a:rPr>
                <a:t>1</a:t>
              </a:r>
              <a:endParaRPr lang="da-DK" sz="1200">
                <a:solidFill>
                  <a:sysClr val="windowText" lastClr="000000"/>
                </a:solidFill>
                <a:effectLst/>
                <a:latin typeface="Times New Roman"/>
                <a:ea typeface="Times New Roman"/>
              </a:endParaRPr>
            </a:p>
          </xdr:txBody>
        </xdr:sp>
        <xdr:sp macro="" textlink="">
          <xdr:nvSpPr>
            <xdr:cNvPr id="24" name="Tekstboks 11"/>
            <xdr:cNvSpPr txBox="1"/>
          </xdr:nvSpPr>
          <xdr:spPr>
            <a:xfrm>
              <a:off x="5016601" y="2158787"/>
              <a:ext cx="7530546" cy="757299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da-DK" sz="1100" kern="1200">
                  <a:solidFill>
                    <a:srgbClr val="000000"/>
                  </a:solidFill>
                  <a:effectLst/>
                  <a:latin typeface="Calibri"/>
                  <a:ea typeface="Times New Roman"/>
                  <a:cs typeface="Times New Roman"/>
                </a:rPr>
                <a:t>Området som </a:t>
              </a:r>
              <a:r>
                <a:rPr lang="da-DK" sz="1100" b="1" kern="1200">
                  <a:solidFill>
                    <a:srgbClr val="000000"/>
                  </a:solidFill>
                  <a:effectLst/>
                  <a:latin typeface="Calibri"/>
                  <a:ea typeface="Times New Roman"/>
                  <a:cs typeface="Times New Roman"/>
                </a:rPr>
                <a:t>var dækket</a:t>
              </a:r>
              <a:r>
                <a:rPr lang="da-DK" sz="1100" kern="1200">
                  <a:solidFill>
                    <a:srgbClr val="000000"/>
                  </a:solidFill>
                  <a:effectLst/>
                  <a:latin typeface="Calibri"/>
                  <a:ea typeface="Times New Roman"/>
                  <a:cs typeface="Times New Roman"/>
                </a:rPr>
                <a:t> med PMMA ved 1. eksponering</a:t>
              </a:r>
              <a:endParaRPr lang="da-DK" sz="1200">
                <a:effectLst/>
                <a:latin typeface="Times New Roman"/>
                <a:ea typeface="Times New Roman"/>
              </a:endParaRPr>
            </a:p>
          </xdr:txBody>
        </xdr:sp>
        <xdr:sp macro="" textlink="">
          <xdr:nvSpPr>
            <xdr:cNvPr id="25" name="Tekstboks 12"/>
            <xdr:cNvSpPr txBox="1"/>
          </xdr:nvSpPr>
          <xdr:spPr>
            <a:xfrm>
              <a:off x="4990444" y="1334491"/>
              <a:ext cx="7872355" cy="699006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da-DK" sz="1100" kern="1200">
                  <a:solidFill>
                    <a:srgbClr val="000000"/>
                  </a:solidFill>
                  <a:effectLst/>
                  <a:latin typeface="Calibri"/>
                  <a:ea typeface="Times New Roman"/>
                  <a:cs typeface="Times New Roman"/>
                </a:rPr>
                <a:t>Området som</a:t>
              </a:r>
              <a:r>
                <a:rPr lang="da-DK" sz="1100" b="1" kern="1200">
                  <a:solidFill>
                    <a:srgbClr val="000000"/>
                  </a:solidFill>
                  <a:effectLst/>
                  <a:latin typeface="Calibri"/>
                  <a:ea typeface="Times New Roman"/>
                  <a:cs typeface="Times New Roman"/>
                </a:rPr>
                <a:t> ikke var dækket</a:t>
              </a:r>
              <a:r>
                <a:rPr lang="da-DK" sz="1100" kern="1200">
                  <a:solidFill>
                    <a:srgbClr val="000000"/>
                  </a:solidFill>
                  <a:effectLst/>
                  <a:latin typeface="Calibri"/>
                  <a:ea typeface="Times New Roman"/>
                  <a:cs typeface="Times New Roman"/>
                </a:rPr>
                <a:t> med PMMA ved 1. eksponering</a:t>
              </a:r>
              <a:endParaRPr lang="da-DK" sz="1200">
                <a:effectLst/>
                <a:latin typeface="Times New Roman"/>
                <a:ea typeface="Times New Roman"/>
              </a:endParaRPr>
            </a:p>
          </xdr:txBody>
        </xdr:sp>
      </xdr:grpSp>
      <xdr:cxnSp macro="">
        <xdr:nvCxnSpPr>
          <xdr:cNvPr id="8" name="Lige pilforbindelse 7"/>
          <xdr:cNvCxnSpPr/>
        </xdr:nvCxnSpPr>
        <xdr:spPr>
          <a:xfrm flipH="1">
            <a:off x="4505325" y="49644300"/>
            <a:ext cx="1762126" cy="1905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Lige pilforbindelse 25"/>
          <xdr:cNvCxnSpPr/>
        </xdr:nvCxnSpPr>
        <xdr:spPr>
          <a:xfrm flipH="1">
            <a:off x="5610225" y="49168050"/>
            <a:ext cx="666751" cy="9525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142875</xdr:colOff>
      <xdr:row>211</xdr:row>
      <xdr:rowOff>28575</xdr:rowOff>
    </xdr:from>
    <xdr:to>
      <xdr:col>8</xdr:col>
      <xdr:colOff>219076</xdr:colOff>
      <xdr:row>212</xdr:row>
      <xdr:rowOff>123825</xdr:rowOff>
    </xdr:to>
    <xdr:sp macro="" textlink="">
      <xdr:nvSpPr>
        <xdr:cNvPr id="7" name="Tekstboks 6"/>
        <xdr:cNvSpPr txBox="1"/>
      </xdr:nvSpPr>
      <xdr:spPr>
        <a:xfrm>
          <a:off x="4600575" y="43919775"/>
          <a:ext cx="68580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>
              <a:solidFill>
                <a:sysClr val="windowText" lastClr="000000"/>
              </a:solidFill>
            </a:rPr>
            <a:t>Al-folie</a:t>
          </a:r>
        </a:p>
      </xdr:txBody>
    </xdr:sp>
    <xdr:clientData/>
  </xdr:twoCellAnchor>
  <xdr:twoCellAnchor>
    <xdr:from>
      <xdr:col>11</xdr:col>
      <xdr:colOff>27808</xdr:colOff>
      <xdr:row>163</xdr:row>
      <xdr:rowOff>28575</xdr:rowOff>
    </xdr:from>
    <xdr:to>
      <xdr:col>16</xdr:col>
      <xdr:colOff>236218</xdr:colOff>
      <xdr:row>177</xdr:row>
      <xdr:rowOff>104140</xdr:rowOff>
    </xdr:to>
    <xdr:grpSp>
      <xdr:nvGrpSpPr>
        <xdr:cNvPr id="34" name="Gruppe 33"/>
        <xdr:cNvGrpSpPr/>
      </xdr:nvGrpSpPr>
      <xdr:grpSpPr>
        <a:xfrm>
          <a:off x="7019158" y="31775400"/>
          <a:ext cx="3256410" cy="2742565"/>
          <a:chOff x="317970" y="0"/>
          <a:chExt cx="3029060" cy="3044825"/>
        </a:xfrm>
      </xdr:grpSpPr>
      <xdr:grpSp>
        <xdr:nvGrpSpPr>
          <xdr:cNvPr id="47" name="Gruppe 46"/>
          <xdr:cNvGrpSpPr/>
        </xdr:nvGrpSpPr>
        <xdr:grpSpPr>
          <a:xfrm>
            <a:off x="317970" y="0"/>
            <a:ext cx="2679065" cy="3044825"/>
            <a:chOff x="0" y="71755"/>
            <a:chExt cx="2679065" cy="3044825"/>
          </a:xfrm>
        </xdr:grpSpPr>
        <xdr:grpSp>
          <xdr:nvGrpSpPr>
            <xdr:cNvPr id="50" name="Gruppe 49"/>
            <xdr:cNvGrpSpPr/>
          </xdr:nvGrpSpPr>
          <xdr:grpSpPr>
            <a:xfrm>
              <a:off x="0" y="365760"/>
              <a:ext cx="2679065" cy="2750820"/>
              <a:chOff x="0" y="0"/>
              <a:chExt cx="2679589" cy="2751152"/>
            </a:xfrm>
          </xdr:grpSpPr>
          <xdr:sp macro="" textlink="">
            <xdr:nvSpPr>
              <xdr:cNvPr id="56" name="Rektangel 55"/>
              <xdr:cNvSpPr/>
            </xdr:nvSpPr>
            <xdr:spPr>
              <a:xfrm>
                <a:off x="0" y="0"/>
                <a:ext cx="2679589" cy="2751152"/>
              </a:xfrm>
              <a:prstGeom prst="rect">
                <a:avLst/>
              </a:prstGeom>
              <a:solidFill>
                <a:schemeClr val="bg1">
                  <a:lumMod val="85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57" name="Rektangel 56"/>
              <xdr:cNvSpPr/>
            </xdr:nvSpPr>
            <xdr:spPr>
              <a:xfrm>
                <a:off x="2019631" y="1152939"/>
                <a:ext cx="365760" cy="365760"/>
              </a:xfrm>
              <a:prstGeom prst="rect">
                <a:avLst/>
              </a:prstGeom>
              <a:noFill/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58" name="Rektangel 57"/>
              <xdr:cNvSpPr/>
            </xdr:nvSpPr>
            <xdr:spPr>
              <a:xfrm>
                <a:off x="1176793" y="1160890"/>
                <a:ext cx="365760" cy="365760"/>
              </a:xfrm>
              <a:prstGeom prst="rect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59" name="Rektangel 58"/>
              <xdr:cNvSpPr/>
            </xdr:nvSpPr>
            <xdr:spPr>
              <a:xfrm>
                <a:off x="326003" y="1152939"/>
                <a:ext cx="365760" cy="365760"/>
              </a:xfrm>
              <a:prstGeom prst="rect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60" name="Rektangel 59"/>
              <xdr:cNvSpPr/>
            </xdr:nvSpPr>
            <xdr:spPr>
              <a:xfrm>
                <a:off x="2019631" y="2091193"/>
                <a:ext cx="365760" cy="365760"/>
              </a:xfrm>
              <a:prstGeom prst="rect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61" name="Rektangel 60"/>
              <xdr:cNvSpPr/>
            </xdr:nvSpPr>
            <xdr:spPr>
              <a:xfrm>
                <a:off x="1168842" y="2083242"/>
                <a:ext cx="365760" cy="365760"/>
              </a:xfrm>
              <a:prstGeom prst="rect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62" name="Rektangel 61"/>
              <xdr:cNvSpPr/>
            </xdr:nvSpPr>
            <xdr:spPr>
              <a:xfrm>
                <a:off x="326003" y="2083242"/>
                <a:ext cx="365760" cy="365760"/>
              </a:xfrm>
              <a:prstGeom prst="rect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63" name="Rektangel 62"/>
              <xdr:cNvSpPr/>
            </xdr:nvSpPr>
            <xdr:spPr>
              <a:xfrm>
                <a:off x="2035534" y="310101"/>
                <a:ext cx="365760" cy="365760"/>
              </a:xfrm>
              <a:prstGeom prst="rect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64" name="Rektangel 63"/>
              <xdr:cNvSpPr/>
            </xdr:nvSpPr>
            <xdr:spPr>
              <a:xfrm>
                <a:off x="1184744" y="310101"/>
                <a:ext cx="365760" cy="365760"/>
              </a:xfrm>
              <a:prstGeom prst="rect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65" name="Rektangel 64"/>
              <xdr:cNvSpPr/>
            </xdr:nvSpPr>
            <xdr:spPr>
              <a:xfrm>
                <a:off x="326003" y="310101"/>
                <a:ext cx="365760" cy="365760"/>
              </a:xfrm>
              <a:prstGeom prst="rect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</xdr:grpSp>
        <xdr:grpSp>
          <xdr:nvGrpSpPr>
            <xdr:cNvPr id="51" name="Gruppe 50"/>
            <xdr:cNvGrpSpPr/>
          </xdr:nvGrpSpPr>
          <xdr:grpSpPr>
            <a:xfrm>
              <a:off x="174929" y="71755"/>
              <a:ext cx="2503495" cy="2893999"/>
              <a:chOff x="0" y="71755"/>
              <a:chExt cx="2503495" cy="2893999"/>
            </a:xfrm>
          </xdr:grpSpPr>
          <xdr:sp macro="" textlink="">
            <xdr:nvSpPr>
              <xdr:cNvPr id="52" name="Rektangel 51"/>
              <xdr:cNvSpPr/>
            </xdr:nvSpPr>
            <xdr:spPr>
              <a:xfrm>
                <a:off x="0" y="485029"/>
                <a:ext cx="2409245" cy="2480725"/>
              </a:xfrm>
              <a:prstGeom prst="rect">
                <a:avLst/>
              </a:prstGeom>
              <a:noFill/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53" name="Tekstfelt 2"/>
              <xdr:cNvSpPr txBox="1">
                <a:spLocks noChangeArrowheads="1"/>
              </xdr:cNvSpPr>
            </xdr:nvSpPr>
            <xdr:spPr bwMode="auto">
              <a:xfrm>
                <a:off x="1843807" y="71755"/>
                <a:ext cx="659688" cy="29400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1000" spc="-10">
                    <a:effectLst/>
                    <a:latin typeface="Arial"/>
                    <a:ea typeface="Arial"/>
                    <a:cs typeface="Times New Roman"/>
                  </a:rPr>
                  <a:t>Rk. 1</a:t>
                </a:r>
              </a:p>
            </xdr:txBody>
          </xdr:sp>
          <xdr:sp macro="" textlink="">
            <xdr:nvSpPr>
              <xdr:cNvPr id="54" name="Tekstfelt 2"/>
              <xdr:cNvSpPr txBox="1">
                <a:spLocks noChangeArrowheads="1"/>
              </xdr:cNvSpPr>
            </xdr:nvSpPr>
            <xdr:spPr bwMode="auto">
              <a:xfrm>
                <a:off x="971928" y="71755"/>
                <a:ext cx="615782" cy="29400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1000" spc="-10">
                    <a:effectLst/>
                    <a:latin typeface="Arial"/>
                    <a:ea typeface="Arial"/>
                    <a:cs typeface="Times New Roman"/>
                  </a:rPr>
                  <a:t>Rk. 2</a:t>
                </a:r>
              </a:p>
            </xdr:txBody>
          </xdr:sp>
          <xdr:sp macro="" textlink="">
            <xdr:nvSpPr>
              <xdr:cNvPr id="55" name="Tekstfelt 2"/>
              <xdr:cNvSpPr txBox="1">
                <a:spLocks noChangeArrowheads="1"/>
              </xdr:cNvSpPr>
            </xdr:nvSpPr>
            <xdr:spPr bwMode="auto">
              <a:xfrm>
                <a:off x="166836" y="71755"/>
                <a:ext cx="579585" cy="29400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1000" spc="-10">
                    <a:effectLst/>
                    <a:latin typeface="Arial"/>
                    <a:ea typeface="Arial"/>
                    <a:cs typeface="Times New Roman"/>
                  </a:rPr>
                  <a:t>Rk. 3</a:t>
                </a:r>
              </a:p>
            </xdr:txBody>
          </xdr:sp>
        </xdr:grpSp>
      </xdr:grpSp>
      <xdr:sp macro="" textlink="">
        <xdr:nvSpPr>
          <xdr:cNvPr id="46" name="Tekstfelt 2"/>
          <xdr:cNvSpPr txBox="1">
            <a:spLocks noChangeArrowheads="1"/>
          </xdr:cNvSpPr>
        </xdr:nvSpPr>
        <xdr:spPr bwMode="auto">
          <a:xfrm rot="16200000">
            <a:off x="2301820" y="1331843"/>
            <a:ext cx="1812290" cy="2781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ts val="1300"/>
              </a:lnSpc>
              <a:spcAft>
                <a:spcPts val="1300"/>
              </a:spcAft>
            </a:pPr>
            <a:r>
              <a:rPr lang="da-DK" sz="1000" spc="-10">
                <a:effectLst/>
                <a:latin typeface="Arial"/>
                <a:ea typeface="Arial"/>
                <a:cs typeface="Times New Roman"/>
              </a:rPr>
              <a:t>Thoraxkant</a:t>
            </a:r>
          </a:p>
          <a:p>
            <a:pPr>
              <a:lnSpc>
                <a:spcPts val="1300"/>
              </a:lnSpc>
              <a:spcAft>
                <a:spcPts val="1300"/>
              </a:spcAft>
            </a:pPr>
            <a:endParaRPr lang="da-DK" sz="1000" spc="-10">
              <a:effectLst/>
              <a:latin typeface="Arial"/>
              <a:ea typeface="Arial"/>
              <a:cs typeface="Times New Roman"/>
            </a:endParaRPr>
          </a:p>
        </xdr:txBody>
      </xdr:sp>
    </xdr:grpSp>
    <xdr:clientData/>
  </xdr:twoCellAnchor>
  <xdr:twoCellAnchor>
    <xdr:from>
      <xdr:col>13</xdr:col>
      <xdr:colOff>200025</xdr:colOff>
      <xdr:row>127</xdr:row>
      <xdr:rowOff>180975</xdr:rowOff>
    </xdr:from>
    <xdr:to>
      <xdr:col>16</xdr:col>
      <xdr:colOff>485775</xdr:colOff>
      <xdr:row>137</xdr:row>
      <xdr:rowOff>39370</xdr:rowOff>
    </xdr:to>
    <xdr:grpSp>
      <xdr:nvGrpSpPr>
        <xdr:cNvPr id="49" name="Gruppe 48"/>
        <xdr:cNvGrpSpPr/>
      </xdr:nvGrpSpPr>
      <xdr:grpSpPr>
        <a:xfrm>
          <a:off x="8410575" y="24984075"/>
          <a:ext cx="2114550" cy="1801495"/>
          <a:chOff x="361951" y="0"/>
          <a:chExt cx="2114680" cy="1801629"/>
        </a:xfrm>
      </xdr:grpSpPr>
      <xdr:grpSp>
        <xdr:nvGrpSpPr>
          <xdr:cNvPr id="66" name="Gruppe 65"/>
          <xdr:cNvGrpSpPr/>
        </xdr:nvGrpSpPr>
        <xdr:grpSpPr>
          <a:xfrm>
            <a:off x="361951" y="0"/>
            <a:ext cx="2114680" cy="1801629"/>
            <a:chOff x="416257" y="0"/>
            <a:chExt cx="2431963" cy="2095500"/>
          </a:xfrm>
        </xdr:grpSpPr>
        <xdr:grpSp>
          <xdr:nvGrpSpPr>
            <xdr:cNvPr id="69" name="Gruppe 68"/>
            <xdr:cNvGrpSpPr/>
          </xdr:nvGrpSpPr>
          <xdr:grpSpPr>
            <a:xfrm>
              <a:off x="416257" y="0"/>
              <a:ext cx="2102977" cy="2095500"/>
              <a:chOff x="416257" y="0"/>
              <a:chExt cx="2102977" cy="2095500"/>
            </a:xfrm>
          </xdr:grpSpPr>
          <xdr:sp macro="" textlink="">
            <xdr:nvSpPr>
              <xdr:cNvPr id="71" name="Rektangel 70"/>
              <xdr:cNvSpPr/>
            </xdr:nvSpPr>
            <xdr:spPr>
              <a:xfrm>
                <a:off x="416257" y="0"/>
                <a:ext cx="2102977" cy="2095500"/>
              </a:xfrm>
              <a:prstGeom prst="rect">
                <a:avLst/>
              </a:prstGeom>
              <a:solidFill>
                <a:schemeClr val="bg1">
                  <a:lumMod val="85000"/>
                </a:schemeClr>
              </a:solidFill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72" name="Rektangel 71"/>
              <xdr:cNvSpPr/>
            </xdr:nvSpPr>
            <xdr:spPr>
              <a:xfrm>
                <a:off x="972178" y="629603"/>
                <a:ext cx="800099" cy="792480"/>
              </a:xfrm>
              <a:prstGeom prst="rect">
                <a:avLst/>
              </a:prstGeom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73" name="Rektangel 72"/>
              <xdr:cNvSpPr/>
            </xdr:nvSpPr>
            <xdr:spPr>
              <a:xfrm>
                <a:off x="1167130" y="800396"/>
                <a:ext cx="462916" cy="449581"/>
              </a:xfrm>
              <a:prstGeom prst="rect">
                <a:avLst/>
              </a:prstGeom>
              <a:noFill/>
              <a:ln w="381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74" name="Rektangel 73"/>
              <xdr:cNvSpPr/>
            </xdr:nvSpPr>
            <xdr:spPr>
              <a:xfrm>
                <a:off x="1862713" y="800396"/>
                <a:ext cx="510539" cy="434340"/>
              </a:xfrm>
              <a:prstGeom prst="rect">
                <a:avLst/>
              </a:prstGeom>
              <a:noFill/>
              <a:ln w="38100" cap="flat" cmpd="sng" algn="ctr">
                <a:solidFill>
                  <a:srgbClr val="FF0000"/>
                </a:solidFill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75" name="Tekstfelt 2"/>
              <xdr:cNvSpPr txBox="1">
                <a:spLocks noChangeArrowheads="1"/>
              </xdr:cNvSpPr>
            </xdr:nvSpPr>
            <xdr:spPr bwMode="auto">
              <a:xfrm>
                <a:off x="1162673" y="841614"/>
                <a:ext cx="609600" cy="29527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ROI</a:t>
                </a:r>
                <a:r>
                  <a: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 </a:t>
                </a:r>
                <a:r>
                  <a:rPr lang="da-DK" sz="1000" spc="-10">
                    <a:solidFill>
                      <a:srgbClr val="FF0000"/>
                    </a:solidFill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Al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76" name="Tekstfelt 2"/>
              <xdr:cNvSpPr txBox="1">
                <a:spLocks noChangeArrowheads="1"/>
              </xdr:cNvSpPr>
            </xdr:nvSpPr>
            <xdr:spPr bwMode="auto">
              <a:xfrm>
                <a:off x="1862696" y="865775"/>
                <a:ext cx="609600" cy="299084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ROI</a:t>
                </a:r>
                <a:r>
                  <a:rPr lang="da-DK" sz="1000" spc="-10">
                    <a:solidFill>
                      <a:srgbClr val="FF0000"/>
                    </a:solidFill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 Bg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sp macro="" textlink="">
          <xdr:nvSpPr>
            <xdr:cNvPr id="70" name="Tekstfelt 2"/>
            <xdr:cNvSpPr txBox="1">
              <a:spLocks noChangeArrowheads="1"/>
            </xdr:cNvSpPr>
          </xdr:nvSpPr>
          <xdr:spPr bwMode="auto">
            <a:xfrm rot="16200000">
              <a:off x="2114930" y="815369"/>
              <a:ext cx="1137546" cy="32903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ts val="1300"/>
                </a:lnSpc>
                <a:spcAft>
                  <a:spcPts val="1300"/>
                </a:spcAft>
              </a:pPr>
              <a:r>
                <a:rPr lang="da-DK" sz="9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rPr>
                <a:t>Thoraxkant</a:t>
              </a:r>
              <a:endParaRPr lang="da-DK" sz="10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endParaRPr>
            </a:p>
            <a:p>
              <a:pPr>
                <a:lnSpc>
                  <a:spcPts val="1300"/>
                </a:lnSpc>
                <a:spcAft>
                  <a:spcPts val="1300"/>
                </a:spcAft>
              </a:pPr>
              <a:r>
                <a: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rPr>
                <a:t> </a:t>
              </a:r>
            </a:p>
          </xdr:txBody>
        </xdr:sp>
      </xdr:grpSp>
      <xdr:sp macro="" textlink="">
        <xdr:nvSpPr>
          <xdr:cNvPr id="67" name="Tekstfelt 2"/>
          <xdr:cNvSpPr txBox="1">
            <a:spLocks noChangeArrowheads="1"/>
          </xdr:cNvSpPr>
        </xdr:nvSpPr>
        <xdr:spPr bwMode="auto">
          <a:xfrm>
            <a:off x="881334" y="95045"/>
            <a:ext cx="738262" cy="3067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ts val="1300"/>
              </a:lnSpc>
              <a:spcAft>
                <a:spcPts val="1300"/>
              </a:spcAft>
            </a:pPr>
            <a:r>
              <a:rPr lang="da-DK" sz="9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0,2 mm Al</a:t>
            </a:r>
            <a:endParaRPr lang="da-DK" sz="1000" spc="-1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68" name="Lige pilforbindelse 67"/>
          <xdr:cNvCxnSpPr/>
        </xdr:nvCxnSpPr>
        <xdr:spPr>
          <a:xfrm flipH="1">
            <a:off x="1091731" y="313343"/>
            <a:ext cx="109220" cy="227965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200025</xdr:colOff>
      <xdr:row>137</xdr:row>
      <xdr:rowOff>38100</xdr:rowOff>
    </xdr:from>
    <xdr:to>
      <xdr:col>14</xdr:col>
      <xdr:colOff>513715</xdr:colOff>
      <xdr:row>138</xdr:row>
      <xdr:rowOff>158750</xdr:rowOff>
    </xdr:to>
    <xdr:sp macro="" textlink="">
      <xdr:nvSpPr>
        <xdr:cNvPr id="77" name="Tekstfelt 403"/>
        <xdr:cNvSpPr txBox="1">
          <a:spLocks noChangeArrowheads="1"/>
        </xdr:cNvSpPr>
      </xdr:nvSpPr>
      <xdr:spPr bwMode="auto">
        <a:xfrm>
          <a:off x="8410575" y="26784300"/>
          <a:ext cx="923290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1300"/>
            </a:lnSpc>
            <a:spcAft>
              <a:spcPts val="1300"/>
            </a:spcAft>
          </a:pPr>
          <a:r>
            <a:rPr lang="da-DK" sz="900" spc="-1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Set ovenfra</a:t>
          </a:r>
          <a:endParaRPr lang="da-DK" sz="1000" spc="-1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1</xdr:colOff>
      <xdr:row>128</xdr:row>
      <xdr:rowOff>0</xdr:rowOff>
    </xdr:from>
    <xdr:to>
      <xdr:col>22</xdr:col>
      <xdr:colOff>321311</xdr:colOff>
      <xdr:row>139</xdr:row>
      <xdr:rowOff>61599</xdr:rowOff>
    </xdr:to>
    <xdr:grpSp>
      <xdr:nvGrpSpPr>
        <xdr:cNvPr id="78" name="Gruppe 77"/>
        <xdr:cNvGrpSpPr/>
      </xdr:nvGrpSpPr>
      <xdr:grpSpPr>
        <a:xfrm>
          <a:off x="10648951" y="24993600"/>
          <a:ext cx="3369310" cy="2195199"/>
          <a:chOff x="1002182" y="-89889"/>
          <a:chExt cx="3371723" cy="2196234"/>
        </a:xfrm>
      </xdr:grpSpPr>
      <xdr:sp macro="" textlink="">
        <xdr:nvSpPr>
          <xdr:cNvPr id="79" name="Tekstfelt 2"/>
          <xdr:cNvSpPr txBox="1">
            <a:spLocks noChangeArrowheads="1"/>
          </xdr:cNvSpPr>
        </xdr:nvSpPr>
        <xdr:spPr bwMode="auto">
          <a:xfrm>
            <a:off x="1426464" y="1858060"/>
            <a:ext cx="658368" cy="248285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ts val="1300"/>
              </a:lnSpc>
              <a:spcAft>
                <a:spcPts val="1300"/>
              </a:spcAft>
            </a:pPr>
            <a:r>
              <a:rPr lang="da-DK" sz="9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Set forfra</a:t>
            </a:r>
            <a:endParaRPr lang="da-DK" sz="1000" spc="-1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  <xdr:grpSp>
        <xdr:nvGrpSpPr>
          <xdr:cNvPr id="80" name="Gruppe 79"/>
          <xdr:cNvGrpSpPr/>
        </xdr:nvGrpSpPr>
        <xdr:grpSpPr>
          <a:xfrm>
            <a:off x="1002182" y="-89889"/>
            <a:ext cx="3371723" cy="1845029"/>
            <a:chOff x="1002182" y="-89889"/>
            <a:chExt cx="3371723" cy="1845029"/>
          </a:xfrm>
        </xdr:grpSpPr>
        <xdr:grpSp>
          <xdr:nvGrpSpPr>
            <xdr:cNvPr id="81" name="Gruppe 80"/>
            <xdr:cNvGrpSpPr/>
          </xdr:nvGrpSpPr>
          <xdr:grpSpPr>
            <a:xfrm>
              <a:off x="1002182" y="0"/>
              <a:ext cx="1463040" cy="1755140"/>
              <a:chOff x="14630" y="73152"/>
              <a:chExt cx="1463040" cy="1755140"/>
            </a:xfrm>
          </xdr:grpSpPr>
          <xdr:sp macro="" textlink="">
            <xdr:nvSpPr>
              <xdr:cNvPr id="95" name="Rektangel 94"/>
              <xdr:cNvSpPr/>
            </xdr:nvSpPr>
            <xdr:spPr>
              <a:xfrm>
                <a:off x="534009" y="73152"/>
                <a:ext cx="460858" cy="1755140"/>
              </a:xfrm>
              <a:prstGeom prst="rect">
                <a:avLst/>
              </a:prstGeom>
              <a:solidFill>
                <a:srgbClr val="70AD47">
                  <a:lumMod val="20000"/>
                  <a:lumOff val="80000"/>
                </a:srgbClr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96" name="Rektangel 95"/>
              <xdr:cNvSpPr/>
            </xdr:nvSpPr>
            <xdr:spPr>
              <a:xfrm>
                <a:off x="14630" y="453542"/>
                <a:ext cx="1463040" cy="256031"/>
              </a:xfrm>
              <a:prstGeom prst="rect">
                <a:avLst/>
              </a:prstGeom>
              <a:solidFill>
                <a:srgbClr val="4472C4">
                  <a:lumMod val="20000"/>
                  <a:lumOff val="80000"/>
                </a:srgbClr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97" name="Rektangel 96"/>
              <xdr:cNvSpPr/>
            </xdr:nvSpPr>
            <xdr:spPr>
              <a:xfrm>
                <a:off x="21946" y="1141171"/>
                <a:ext cx="1441094" cy="241402"/>
              </a:xfrm>
              <a:prstGeom prst="rect">
                <a:avLst/>
              </a:prstGeom>
              <a:solidFill>
                <a:srgbClr val="5B9BD5"/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98" name="Rektangel 97"/>
              <xdr:cNvSpPr/>
            </xdr:nvSpPr>
            <xdr:spPr>
              <a:xfrm>
                <a:off x="256032" y="1009498"/>
                <a:ext cx="950976" cy="11653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99" name="Rektangel 98"/>
              <xdr:cNvSpPr/>
            </xdr:nvSpPr>
            <xdr:spPr>
              <a:xfrm>
                <a:off x="256032" y="782727"/>
                <a:ext cx="950595" cy="11620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100" name="Rektangel 99"/>
              <xdr:cNvSpPr/>
            </xdr:nvSpPr>
            <xdr:spPr>
              <a:xfrm>
                <a:off x="256032" y="724205"/>
                <a:ext cx="73025" cy="57150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cxnSp macro="">
            <xdr:nvCxnSpPr>
              <xdr:cNvPr id="101" name="Lige forbindelse 100"/>
              <xdr:cNvCxnSpPr/>
            </xdr:nvCxnSpPr>
            <xdr:spPr>
              <a:xfrm>
                <a:off x="651053" y="1111911"/>
                <a:ext cx="182880" cy="0"/>
              </a:xfrm>
              <a:prstGeom prst="line">
                <a:avLst/>
              </a:prstGeom>
              <a:noFill/>
              <a:ln w="25400" cap="flat" cmpd="sng" algn="ctr">
                <a:solidFill>
                  <a:srgbClr val="FF0000"/>
                </a:solidFill>
                <a:prstDash val="solid"/>
                <a:miter lim="800000"/>
              </a:ln>
              <a:effectLst/>
            </xdr:spPr>
          </xdr:cxnSp>
          <xdr:sp macro="" textlink="">
            <xdr:nvSpPr>
              <xdr:cNvPr id="102" name="Rektangel 101"/>
              <xdr:cNvSpPr/>
            </xdr:nvSpPr>
            <xdr:spPr>
              <a:xfrm>
                <a:off x="256032" y="899770"/>
                <a:ext cx="950976" cy="11653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sp macro="" textlink="">
            <xdr:nvSpPr>
              <xdr:cNvPr id="103" name="Rektangel 102"/>
              <xdr:cNvSpPr/>
            </xdr:nvSpPr>
            <xdr:spPr>
              <a:xfrm>
                <a:off x="1133856" y="716890"/>
                <a:ext cx="73025" cy="57150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</xdr:grpSp>
        <xdr:grpSp>
          <xdr:nvGrpSpPr>
            <xdr:cNvPr id="82" name="Gruppe 81"/>
            <xdr:cNvGrpSpPr/>
          </xdr:nvGrpSpPr>
          <xdr:grpSpPr>
            <a:xfrm>
              <a:off x="1740756" y="-89889"/>
              <a:ext cx="2633149" cy="1706633"/>
              <a:chOff x="1740756" y="-470279"/>
              <a:chExt cx="2633149" cy="1706633"/>
            </a:xfrm>
          </xdr:grpSpPr>
          <xdr:sp macro="" textlink="">
            <xdr:nvSpPr>
              <xdr:cNvPr id="83" name="Tekstfelt 2"/>
              <xdr:cNvSpPr txBox="1">
                <a:spLocks noChangeArrowheads="1"/>
              </xdr:cNvSpPr>
            </xdr:nvSpPr>
            <xdr:spPr bwMode="auto">
              <a:xfrm>
                <a:off x="2947440" y="446228"/>
                <a:ext cx="884555" cy="27401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PMMA-plader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84" name="Tekstfelt 2"/>
              <xdr:cNvSpPr txBox="1">
                <a:spLocks noChangeArrowheads="1"/>
              </xdr:cNvSpPr>
            </xdr:nvSpPr>
            <xdr:spPr bwMode="auto">
              <a:xfrm>
                <a:off x="2940709" y="167413"/>
                <a:ext cx="884555" cy="27797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Spacere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85" name="Tekstfelt 2"/>
              <xdr:cNvSpPr txBox="1">
                <a:spLocks noChangeArrowheads="1"/>
              </xdr:cNvSpPr>
            </xdr:nvSpPr>
            <xdr:spPr bwMode="auto">
              <a:xfrm>
                <a:off x="2364761" y="-470279"/>
                <a:ext cx="1280912" cy="29216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0,2 mm Al-folie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86" name="Tekstfelt 2"/>
              <xdr:cNvSpPr txBox="1">
                <a:spLocks noChangeArrowheads="1"/>
              </xdr:cNvSpPr>
            </xdr:nvSpPr>
            <xdr:spPr bwMode="auto">
              <a:xfrm>
                <a:off x="2940710" y="952500"/>
                <a:ext cx="1433195" cy="28385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Mammografiapparat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87" name="Tekstfelt 2"/>
              <xdr:cNvSpPr txBox="1">
                <a:spLocks noChangeArrowheads="1"/>
              </xdr:cNvSpPr>
            </xdr:nvSpPr>
            <xdr:spPr bwMode="auto">
              <a:xfrm>
                <a:off x="2940709" y="672491"/>
                <a:ext cx="1192358" cy="277979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Detektorplade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88" name="Tekstfelt 2"/>
              <xdr:cNvSpPr txBox="1">
                <a:spLocks noChangeArrowheads="1"/>
              </xdr:cNvSpPr>
            </xdr:nvSpPr>
            <xdr:spPr bwMode="auto">
              <a:xfrm>
                <a:off x="2933395" y="-31041"/>
                <a:ext cx="1264920" cy="25527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Kompressionsplade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89" name="Lige pilforbindelse 88"/>
              <xdr:cNvCxnSpPr/>
            </xdr:nvCxnSpPr>
            <xdr:spPr>
              <a:xfrm flipH="1">
                <a:off x="2523744" y="124359"/>
                <a:ext cx="445643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90" name="Lige pilforbindelse 89"/>
              <xdr:cNvCxnSpPr/>
            </xdr:nvCxnSpPr>
            <xdr:spPr>
              <a:xfrm flipH="1">
                <a:off x="2253082" y="307239"/>
                <a:ext cx="720000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91" name="Lige pilforbindelse 90"/>
              <xdr:cNvCxnSpPr/>
            </xdr:nvCxnSpPr>
            <xdr:spPr>
              <a:xfrm flipH="1">
                <a:off x="2501798" y="804672"/>
                <a:ext cx="445643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92" name="Lige pilforbindelse 91"/>
              <xdr:cNvCxnSpPr/>
            </xdr:nvCxnSpPr>
            <xdr:spPr>
              <a:xfrm flipH="1">
                <a:off x="2260398" y="592531"/>
                <a:ext cx="720000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93" name="Lige pilforbindelse 92"/>
              <xdr:cNvCxnSpPr/>
            </xdr:nvCxnSpPr>
            <xdr:spPr>
              <a:xfrm flipH="1">
                <a:off x="2055571" y="1089965"/>
                <a:ext cx="900000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94" name="Lige pilforbindelse 93"/>
              <xdr:cNvCxnSpPr/>
            </xdr:nvCxnSpPr>
            <xdr:spPr>
              <a:xfrm flipH="1">
                <a:off x="1740756" y="-281647"/>
                <a:ext cx="687458" cy="896077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FF0000"/>
                </a:solidFill>
                <a:prstDash val="solid"/>
                <a:miter lim="800000"/>
                <a:tailEnd type="triangle"/>
              </a:ln>
              <a:effectLst/>
            </xdr:spPr>
          </xdr:cxnSp>
        </xdr:grpSp>
      </xdr:grpSp>
    </xdr:grpSp>
    <xdr:clientData/>
  </xdr:twoCellAnchor>
  <xdr:twoCellAnchor>
    <xdr:from>
      <xdr:col>22</xdr:col>
      <xdr:colOff>314325</xdr:colOff>
      <xdr:row>127</xdr:row>
      <xdr:rowOff>190499</xdr:rowOff>
    </xdr:from>
    <xdr:to>
      <xdr:col>27</xdr:col>
      <xdr:colOff>431799</xdr:colOff>
      <xdr:row>138</xdr:row>
      <xdr:rowOff>176531</xdr:rowOff>
    </xdr:to>
    <xdr:grpSp>
      <xdr:nvGrpSpPr>
        <xdr:cNvPr id="104" name="Gruppe 103"/>
        <xdr:cNvGrpSpPr/>
      </xdr:nvGrpSpPr>
      <xdr:grpSpPr>
        <a:xfrm>
          <a:off x="14011275" y="24993599"/>
          <a:ext cx="3165474" cy="2119632"/>
          <a:chOff x="0" y="-75029"/>
          <a:chExt cx="3166025" cy="2120663"/>
        </a:xfrm>
      </xdr:grpSpPr>
      <xdr:grpSp>
        <xdr:nvGrpSpPr>
          <xdr:cNvPr id="105" name="Gruppe 104"/>
          <xdr:cNvGrpSpPr/>
        </xdr:nvGrpSpPr>
        <xdr:grpSpPr>
          <a:xfrm>
            <a:off x="0" y="-75029"/>
            <a:ext cx="3166025" cy="1830169"/>
            <a:chOff x="0" y="-75029"/>
            <a:chExt cx="3166025" cy="1830169"/>
          </a:xfrm>
        </xdr:grpSpPr>
        <xdr:grpSp>
          <xdr:nvGrpSpPr>
            <xdr:cNvPr id="107" name="Gruppe 106"/>
            <xdr:cNvGrpSpPr/>
          </xdr:nvGrpSpPr>
          <xdr:grpSpPr>
            <a:xfrm>
              <a:off x="0" y="0"/>
              <a:ext cx="1397204" cy="1755140"/>
              <a:chOff x="0" y="0"/>
              <a:chExt cx="1397204" cy="1755140"/>
            </a:xfrm>
          </xdr:grpSpPr>
          <xdr:sp macro="" textlink="">
            <xdr:nvSpPr>
              <xdr:cNvPr id="121" name="Rektangel 120"/>
              <xdr:cNvSpPr/>
            </xdr:nvSpPr>
            <xdr:spPr>
              <a:xfrm>
                <a:off x="724205" y="709575"/>
                <a:ext cx="672999" cy="102413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12700" cap="flat" cmpd="sng" algn="ctr">
                <a:solidFill>
                  <a:srgbClr val="5B9BD5">
                    <a:shade val="50000"/>
                  </a:srgbClr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a-DK"/>
              </a:p>
            </xdr:txBody>
          </xdr:sp>
          <xdr:grpSp>
            <xdr:nvGrpSpPr>
              <xdr:cNvPr id="122" name="Gruppe 121"/>
              <xdr:cNvGrpSpPr/>
            </xdr:nvGrpSpPr>
            <xdr:grpSpPr>
              <a:xfrm>
                <a:off x="0" y="0"/>
                <a:ext cx="1397203" cy="1755140"/>
                <a:chOff x="-709574" y="-124358"/>
                <a:chExt cx="1397203" cy="1755140"/>
              </a:xfrm>
            </xdr:grpSpPr>
            <xdr:sp macro="" textlink="">
              <xdr:nvSpPr>
                <xdr:cNvPr id="123" name="Rektangel 122"/>
                <xdr:cNvSpPr/>
              </xdr:nvSpPr>
              <xdr:spPr>
                <a:xfrm>
                  <a:off x="-709574" y="-124358"/>
                  <a:ext cx="460858" cy="1755140"/>
                </a:xfrm>
                <a:prstGeom prst="rect">
                  <a:avLst/>
                </a:prstGeom>
                <a:solidFill>
                  <a:srgbClr val="70AD47">
                    <a:lumMod val="20000"/>
                    <a:lumOff val="80000"/>
                  </a:srgb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124" name="Rektangel 123"/>
                <xdr:cNvSpPr/>
              </xdr:nvSpPr>
              <xdr:spPr>
                <a:xfrm>
                  <a:off x="-241303" y="277979"/>
                  <a:ext cx="928751" cy="248716"/>
                </a:xfrm>
                <a:prstGeom prst="rect">
                  <a:avLst/>
                </a:prstGeom>
                <a:solidFill>
                  <a:srgbClr val="4472C4">
                    <a:lumMod val="20000"/>
                    <a:lumOff val="80000"/>
                  </a:srgb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125" name="Rektangel 124"/>
                <xdr:cNvSpPr/>
              </xdr:nvSpPr>
              <xdr:spPr>
                <a:xfrm>
                  <a:off x="-233906" y="899770"/>
                  <a:ext cx="921436" cy="226771"/>
                </a:xfrm>
                <a:prstGeom prst="rect">
                  <a:avLst/>
                </a:prstGeom>
                <a:solidFill>
                  <a:srgbClr val="5B9BD5"/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126" name="Rektangel 125"/>
                <xdr:cNvSpPr/>
              </xdr:nvSpPr>
              <xdr:spPr>
                <a:xfrm>
                  <a:off x="14630" y="790042"/>
                  <a:ext cx="672999" cy="102413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127" name="Rektangel 126"/>
                <xdr:cNvSpPr/>
              </xdr:nvSpPr>
              <xdr:spPr>
                <a:xfrm>
                  <a:off x="14630" y="687629"/>
                  <a:ext cx="672999" cy="102413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128" name="Rektangel 127"/>
                <xdr:cNvSpPr/>
              </xdr:nvSpPr>
              <xdr:spPr>
                <a:xfrm>
                  <a:off x="14630" y="526695"/>
                  <a:ext cx="672998" cy="59715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cxnSp macro="">
              <xdr:nvCxnSpPr>
                <xdr:cNvPr id="129" name="Lige forbindelse 128"/>
                <xdr:cNvCxnSpPr/>
              </xdr:nvCxnSpPr>
              <xdr:spPr>
                <a:xfrm>
                  <a:off x="256032" y="877824"/>
                  <a:ext cx="182880" cy="0"/>
                </a:xfrm>
                <a:prstGeom prst="line">
                  <a:avLst/>
                </a:prstGeom>
                <a:noFill/>
                <a:ln w="25400" cap="flat" cmpd="sng" algn="ctr">
                  <a:solidFill>
                    <a:srgbClr val="FF0000"/>
                  </a:solidFill>
                  <a:prstDash val="solid"/>
                  <a:miter lim="800000"/>
                </a:ln>
                <a:effectLst/>
              </xdr:spPr>
            </xdr:cxnSp>
          </xdr:grpSp>
        </xdr:grpSp>
        <xdr:grpSp>
          <xdr:nvGrpSpPr>
            <xdr:cNvPr id="108" name="Gruppe 107"/>
            <xdr:cNvGrpSpPr/>
          </xdr:nvGrpSpPr>
          <xdr:grpSpPr>
            <a:xfrm>
              <a:off x="636423" y="-75029"/>
              <a:ext cx="2529602" cy="1696275"/>
              <a:chOff x="0" y="-133551"/>
              <a:chExt cx="2529602" cy="1696275"/>
            </a:xfrm>
          </xdr:grpSpPr>
          <xdr:sp macro="" textlink="">
            <xdr:nvSpPr>
              <xdr:cNvPr id="109" name="Tekstfelt 2"/>
              <xdr:cNvSpPr txBox="1">
                <a:spLocks noChangeArrowheads="1"/>
              </xdr:cNvSpPr>
            </xdr:nvSpPr>
            <xdr:spPr bwMode="auto">
              <a:xfrm>
                <a:off x="1052820" y="679514"/>
                <a:ext cx="883920" cy="257793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PMMA-plader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0" name="Tekstfelt 2"/>
              <xdr:cNvSpPr txBox="1">
                <a:spLocks noChangeArrowheads="1"/>
              </xdr:cNvSpPr>
            </xdr:nvSpPr>
            <xdr:spPr bwMode="auto">
              <a:xfrm>
                <a:off x="1053389" y="464705"/>
                <a:ext cx="970904" cy="28876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Spacere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1" name="Tekstfelt 2"/>
              <xdr:cNvSpPr txBox="1">
                <a:spLocks noChangeArrowheads="1"/>
              </xdr:cNvSpPr>
            </xdr:nvSpPr>
            <xdr:spPr bwMode="auto">
              <a:xfrm>
                <a:off x="694459" y="-133551"/>
                <a:ext cx="1063127" cy="25791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0,2 mm Al-folie </a:t>
                </a:r>
                <a:r>
                  <a:rPr lang="da-DK" sz="900" spc="-10">
                    <a:solidFill>
                      <a:srgbClr val="000000">
                        <a:alpha val="0"/>
                      </a:srgbClr>
                    </a:solidFill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folie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2" name="Tekstfelt 2"/>
              <xdr:cNvSpPr txBox="1">
                <a:spLocks noChangeArrowheads="1"/>
              </xdr:cNvSpPr>
            </xdr:nvSpPr>
            <xdr:spPr bwMode="auto">
              <a:xfrm>
                <a:off x="1053389" y="1248404"/>
                <a:ext cx="1432560" cy="3143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Mammografiapparat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3" name="Tekstfelt 2"/>
              <xdr:cNvSpPr txBox="1">
                <a:spLocks noChangeArrowheads="1"/>
              </xdr:cNvSpPr>
            </xdr:nvSpPr>
            <xdr:spPr bwMode="auto">
              <a:xfrm>
                <a:off x="1057036" y="918827"/>
                <a:ext cx="1472566" cy="248285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Detektorplade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4" name="Tekstfelt 2"/>
              <xdr:cNvSpPr txBox="1">
                <a:spLocks noChangeArrowheads="1"/>
              </xdr:cNvSpPr>
            </xdr:nvSpPr>
            <xdr:spPr bwMode="auto">
              <a:xfrm>
                <a:off x="1053389" y="261805"/>
                <a:ext cx="1264913" cy="284426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ts val="1300"/>
                  </a:lnSpc>
                  <a:spcAft>
                    <a:spcPts val="1300"/>
                  </a:spcAft>
                </a:pPr>
                <a:r>
                  <a:rPr lang="da-DK" sz="9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rPr>
                  <a:t>Kompressionsplade</a:t>
                </a:r>
                <a:endParaRPr lang="da-DK" sz="10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5" name="Lige pilforbindelse 114"/>
              <xdr:cNvCxnSpPr/>
            </xdr:nvCxnSpPr>
            <xdr:spPr>
              <a:xfrm flipH="1">
                <a:off x="811987" y="409651"/>
                <a:ext cx="288000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116" name="Lige pilforbindelse 115"/>
              <xdr:cNvCxnSpPr/>
            </xdr:nvCxnSpPr>
            <xdr:spPr>
              <a:xfrm flipH="1">
                <a:off x="0" y="1389888"/>
                <a:ext cx="1080000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117" name="Lige pilforbindelse 116"/>
              <xdr:cNvCxnSpPr/>
            </xdr:nvCxnSpPr>
            <xdr:spPr>
              <a:xfrm flipH="1">
                <a:off x="424281" y="124358"/>
                <a:ext cx="321680" cy="775411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FF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118" name="Lige pilforbindelse 117"/>
              <xdr:cNvCxnSpPr/>
            </xdr:nvCxnSpPr>
            <xdr:spPr>
              <a:xfrm flipH="1">
                <a:off x="819302" y="826617"/>
                <a:ext cx="288000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119" name="Lige pilforbindelse 118"/>
              <xdr:cNvCxnSpPr/>
            </xdr:nvCxnSpPr>
            <xdr:spPr>
              <a:xfrm flipH="1">
                <a:off x="811987" y="1075334"/>
                <a:ext cx="288000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  <xdr:cxnSp macro="">
            <xdr:nvCxnSpPr>
              <xdr:cNvPr id="120" name="Lige pilforbindelse 119"/>
              <xdr:cNvCxnSpPr/>
            </xdr:nvCxnSpPr>
            <xdr:spPr>
              <a:xfrm flipH="1">
                <a:off x="811987" y="614477"/>
                <a:ext cx="288000" cy="0"/>
              </a:xfrm>
              <a:prstGeom prst="straightConnector1">
                <a:avLst/>
              </a:prstGeom>
              <a:noFill/>
              <a:ln w="9525" cap="flat" cmpd="sng" algn="ctr">
                <a:solidFill>
                  <a:sysClr val="windowText" lastClr="000000"/>
                </a:solidFill>
                <a:prstDash val="solid"/>
                <a:miter lim="800000"/>
                <a:tailEnd type="triangle"/>
              </a:ln>
              <a:effectLst/>
            </xdr:spPr>
          </xdr:cxnSp>
        </xdr:grpSp>
      </xdr:grpSp>
      <xdr:sp macro="" textlink="">
        <xdr:nvSpPr>
          <xdr:cNvPr id="106" name="Tekstfelt 2"/>
          <xdr:cNvSpPr txBox="1">
            <a:spLocks noChangeArrowheads="1"/>
          </xdr:cNvSpPr>
        </xdr:nvSpPr>
        <xdr:spPr bwMode="auto">
          <a:xfrm>
            <a:off x="350645" y="1797355"/>
            <a:ext cx="980237" cy="248279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ts val="1300"/>
              </a:lnSpc>
              <a:spcAft>
                <a:spcPts val="1300"/>
              </a:spcAft>
            </a:pPr>
            <a:r>
              <a:rPr lang="da-DK" sz="9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Set fra siden</a:t>
            </a:r>
            <a:endParaRPr lang="da-DK" sz="1000" spc="-1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22</xdr:row>
      <xdr:rowOff>95250</xdr:rowOff>
    </xdr:from>
    <xdr:to>
      <xdr:col>17</xdr:col>
      <xdr:colOff>242570</xdr:colOff>
      <xdr:row>33</xdr:row>
      <xdr:rowOff>174625</xdr:rowOff>
    </xdr:to>
    <xdr:grpSp>
      <xdr:nvGrpSpPr>
        <xdr:cNvPr id="2" name="Gruppe 1"/>
        <xdr:cNvGrpSpPr/>
      </xdr:nvGrpSpPr>
      <xdr:grpSpPr>
        <a:xfrm>
          <a:off x="7553325" y="4476750"/>
          <a:ext cx="3385820" cy="2174875"/>
          <a:chOff x="0" y="-38100"/>
          <a:chExt cx="3386003" cy="2174875"/>
        </a:xfrm>
      </xdr:grpSpPr>
      <xdr:grpSp>
        <xdr:nvGrpSpPr>
          <xdr:cNvPr id="3" name="Gruppe 2"/>
          <xdr:cNvGrpSpPr/>
        </xdr:nvGrpSpPr>
        <xdr:grpSpPr>
          <a:xfrm>
            <a:off x="0" y="-38100"/>
            <a:ext cx="3386003" cy="2174875"/>
            <a:chOff x="987555" y="-125903"/>
            <a:chExt cx="3386350" cy="2175092"/>
          </a:xfrm>
        </xdr:grpSpPr>
        <xdr:grpSp>
          <xdr:nvGrpSpPr>
            <xdr:cNvPr id="8" name="Gruppe 7"/>
            <xdr:cNvGrpSpPr/>
          </xdr:nvGrpSpPr>
          <xdr:grpSpPr>
            <a:xfrm>
              <a:off x="987555" y="-125903"/>
              <a:ext cx="3386350" cy="1881043"/>
              <a:chOff x="987555" y="-125903"/>
              <a:chExt cx="3386350" cy="1881043"/>
            </a:xfrm>
          </xdr:grpSpPr>
          <xdr:grpSp>
            <xdr:nvGrpSpPr>
              <xdr:cNvPr id="10" name="Gruppe 9"/>
              <xdr:cNvGrpSpPr/>
            </xdr:nvGrpSpPr>
            <xdr:grpSpPr>
              <a:xfrm>
                <a:off x="987555" y="0"/>
                <a:ext cx="1463040" cy="1755140"/>
                <a:chOff x="3" y="73152"/>
                <a:chExt cx="1463040" cy="1755140"/>
              </a:xfrm>
            </xdr:grpSpPr>
            <xdr:sp macro="" textlink="">
              <xdr:nvSpPr>
                <xdr:cNvPr id="24" name="Rektangel 23"/>
                <xdr:cNvSpPr/>
              </xdr:nvSpPr>
              <xdr:spPr>
                <a:xfrm>
                  <a:off x="534009" y="73152"/>
                  <a:ext cx="460858" cy="1755140"/>
                </a:xfrm>
                <a:prstGeom prst="rect">
                  <a:avLst/>
                </a:prstGeom>
                <a:solidFill>
                  <a:srgbClr val="70AD47">
                    <a:lumMod val="20000"/>
                    <a:lumOff val="80000"/>
                  </a:srgb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25" name="Rektangel 24"/>
                <xdr:cNvSpPr/>
              </xdr:nvSpPr>
              <xdr:spPr>
                <a:xfrm>
                  <a:off x="3" y="404054"/>
                  <a:ext cx="1463040" cy="256031"/>
                </a:xfrm>
                <a:prstGeom prst="rect">
                  <a:avLst/>
                </a:prstGeom>
                <a:solidFill>
                  <a:srgbClr val="4472C4">
                    <a:lumMod val="20000"/>
                    <a:lumOff val="80000"/>
                  </a:srgb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26" name="Rektangel 25"/>
                <xdr:cNvSpPr/>
              </xdr:nvSpPr>
              <xdr:spPr>
                <a:xfrm>
                  <a:off x="21946" y="1141171"/>
                  <a:ext cx="1441094" cy="241402"/>
                </a:xfrm>
                <a:prstGeom prst="rect">
                  <a:avLst/>
                </a:prstGeom>
                <a:solidFill>
                  <a:srgbClr val="5B9BD5"/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27" name="Rektangel 26"/>
                <xdr:cNvSpPr/>
              </xdr:nvSpPr>
              <xdr:spPr>
                <a:xfrm>
                  <a:off x="256032" y="1009498"/>
                  <a:ext cx="950976" cy="116535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28" name="Rektangel 27"/>
                <xdr:cNvSpPr/>
              </xdr:nvSpPr>
              <xdr:spPr>
                <a:xfrm>
                  <a:off x="256032" y="782727"/>
                  <a:ext cx="950595" cy="116205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29" name="Rektangel 28"/>
                <xdr:cNvSpPr/>
              </xdr:nvSpPr>
              <xdr:spPr>
                <a:xfrm>
                  <a:off x="256032" y="673013"/>
                  <a:ext cx="117051" cy="108343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30" name="Rektangel 29"/>
                <xdr:cNvSpPr/>
              </xdr:nvSpPr>
              <xdr:spPr>
                <a:xfrm>
                  <a:off x="256032" y="899770"/>
                  <a:ext cx="950976" cy="116535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sp macro="" textlink="">
              <xdr:nvSpPr>
                <xdr:cNvPr id="31" name="Rektangel 30"/>
                <xdr:cNvSpPr/>
              </xdr:nvSpPr>
              <xdr:spPr>
                <a:xfrm>
                  <a:off x="1097280" y="673013"/>
                  <a:ext cx="109602" cy="101027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</xdr:grpSp>
          <xdr:grpSp>
            <xdr:nvGrpSpPr>
              <xdr:cNvPr id="11" name="Gruppe 10"/>
              <xdr:cNvGrpSpPr/>
            </xdr:nvGrpSpPr>
            <xdr:grpSpPr>
              <a:xfrm>
                <a:off x="1916677" y="-125903"/>
                <a:ext cx="2457228" cy="1759207"/>
                <a:chOff x="1916677" y="-506293"/>
                <a:chExt cx="2457228" cy="1759207"/>
              </a:xfrm>
            </xdr:grpSpPr>
            <xdr:sp macro="" textlink="">
              <xdr:nvSpPr>
                <xdr:cNvPr id="12" name="Tekstfelt 2"/>
                <xdr:cNvSpPr txBox="1">
                  <a:spLocks noChangeArrowheads="1"/>
                </xdr:cNvSpPr>
              </xdr:nvSpPr>
              <xdr:spPr bwMode="auto">
                <a:xfrm>
                  <a:off x="2947441" y="377895"/>
                  <a:ext cx="884555" cy="273156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PMMA-plader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13" name="Tekstfelt 2"/>
                <xdr:cNvSpPr txBox="1">
                  <a:spLocks noChangeArrowheads="1"/>
                </xdr:cNvSpPr>
              </xdr:nvSpPr>
              <xdr:spPr bwMode="auto">
                <a:xfrm>
                  <a:off x="2940710" y="137414"/>
                  <a:ext cx="884555" cy="285294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Spacere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14" name="Tekstfelt 2"/>
                <xdr:cNvSpPr txBox="1">
                  <a:spLocks noChangeArrowheads="1"/>
                </xdr:cNvSpPr>
              </xdr:nvSpPr>
              <xdr:spPr bwMode="auto">
                <a:xfrm>
                  <a:off x="2574293" y="-506293"/>
                  <a:ext cx="1477962" cy="273077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Stak af 2 mm PMMA </a:t>
                  </a:r>
                  <a:r>
                    <a:rPr lang="da-DK" sz="900" spc="-10">
                      <a:solidFill>
                        <a:srgbClr val="000000">
                          <a:alpha val="0"/>
                        </a:srgbClr>
                      </a:solidFill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plader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15" name="Tekstfelt 2"/>
                <xdr:cNvSpPr txBox="1">
                  <a:spLocks noChangeArrowheads="1"/>
                </xdr:cNvSpPr>
              </xdr:nvSpPr>
              <xdr:spPr bwMode="auto">
                <a:xfrm>
                  <a:off x="2940710" y="935864"/>
                  <a:ext cx="1433195" cy="317050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Mammografiapparat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16" name="Tekstfelt 2"/>
                <xdr:cNvSpPr txBox="1">
                  <a:spLocks noChangeArrowheads="1"/>
                </xdr:cNvSpPr>
              </xdr:nvSpPr>
              <xdr:spPr bwMode="auto">
                <a:xfrm>
                  <a:off x="2940603" y="651053"/>
                  <a:ext cx="1069861" cy="277979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Detektorplade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17" name="Tekstfelt 2"/>
                <xdr:cNvSpPr txBox="1">
                  <a:spLocks noChangeArrowheads="1"/>
                </xdr:cNvSpPr>
              </xdr:nvSpPr>
              <xdr:spPr bwMode="auto">
                <a:xfrm>
                  <a:off x="2940710" y="-87986"/>
                  <a:ext cx="1264920" cy="255270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Kompressionsplade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cxnSp macro="">
              <xdr:nvCxnSpPr>
                <xdr:cNvPr id="18" name="Lige pilforbindelse 17"/>
                <xdr:cNvCxnSpPr/>
              </xdr:nvCxnSpPr>
              <xdr:spPr>
                <a:xfrm flipH="1">
                  <a:off x="2523745" y="73151"/>
                  <a:ext cx="445643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19" name="Lige pilforbindelse 18"/>
                <xdr:cNvCxnSpPr/>
              </xdr:nvCxnSpPr>
              <xdr:spPr>
                <a:xfrm flipH="1">
                  <a:off x="2253082" y="277978"/>
                  <a:ext cx="720000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20" name="Lige pilforbindelse 19"/>
                <xdr:cNvCxnSpPr/>
              </xdr:nvCxnSpPr>
              <xdr:spPr>
                <a:xfrm flipH="1">
                  <a:off x="2501799" y="804672"/>
                  <a:ext cx="445643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21" name="Lige pilforbindelse 20"/>
                <xdr:cNvCxnSpPr/>
              </xdr:nvCxnSpPr>
              <xdr:spPr>
                <a:xfrm flipH="1">
                  <a:off x="2260398" y="519377"/>
                  <a:ext cx="720000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22" name="Lige pilforbindelse 21"/>
                <xdr:cNvCxnSpPr/>
              </xdr:nvCxnSpPr>
              <xdr:spPr>
                <a:xfrm flipH="1">
                  <a:off x="2055572" y="1089965"/>
                  <a:ext cx="900000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23" name="Lige pilforbindelse 22"/>
                <xdr:cNvCxnSpPr/>
              </xdr:nvCxnSpPr>
              <xdr:spPr>
                <a:xfrm flipH="1">
                  <a:off x="1916677" y="-321934"/>
                  <a:ext cx="672858" cy="380492"/>
                </a:xfrm>
                <a:prstGeom prst="straightConnector1">
                  <a:avLst/>
                </a:prstGeom>
                <a:noFill/>
                <a:ln w="12700" cap="flat" cmpd="sng" algn="ctr">
                  <a:solidFill>
                    <a:srgbClr val="FF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</xdr:grpSp>
        </xdr:grpSp>
        <xdr:sp macro="" textlink="">
          <xdr:nvSpPr>
            <xdr:cNvPr id="9" name="Tekstfelt 2"/>
            <xdr:cNvSpPr txBox="1">
              <a:spLocks noChangeArrowheads="1"/>
            </xdr:cNvSpPr>
          </xdr:nvSpPr>
          <xdr:spPr bwMode="auto">
            <a:xfrm>
              <a:off x="1426464" y="1800904"/>
              <a:ext cx="658368" cy="24828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ts val="1300"/>
                </a:lnSpc>
                <a:spcAft>
                  <a:spcPts val="1300"/>
                </a:spcAft>
              </a:pPr>
              <a:r>
                <a:rPr lang="da-DK" sz="9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rPr>
                <a:t>Set forfra</a:t>
              </a:r>
              <a:endParaRPr lang="da-DK" sz="10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4" name="Gruppe 3"/>
          <xdr:cNvGrpSpPr/>
        </xdr:nvGrpSpPr>
        <xdr:grpSpPr>
          <a:xfrm>
            <a:off x="614477" y="541325"/>
            <a:ext cx="292100" cy="133349"/>
            <a:chOff x="146262" y="0"/>
            <a:chExt cx="292650" cy="133501"/>
          </a:xfrm>
        </xdr:grpSpPr>
        <xdr:sp macro="" textlink="">
          <xdr:nvSpPr>
            <xdr:cNvPr id="5" name="Rektangel 4"/>
            <xdr:cNvSpPr/>
          </xdr:nvSpPr>
          <xdr:spPr>
            <a:xfrm>
              <a:off x="146262" y="42074"/>
              <a:ext cx="292608" cy="45719"/>
            </a:xfrm>
            <a:prstGeom prst="rect">
              <a:avLst/>
            </a:prstGeom>
            <a:solidFill>
              <a:sysClr val="window" lastClr="FFFFFF">
                <a:lumMod val="95000"/>
              </a:sys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6" name="Rektangel 5"/>
            <xdr:cNvSpPr/>
          </xdr:nvSpPr>
          <xdr:spPr>
            <a:xfrm>
              <a:off x="146304" y="0"/>
              <a:ext cx="292608" cy="45719"/>
            </a:xfrm>
            <a:prstGeom prst="rect">
              <a:avLst/>
            </a:prstGeom>
            <a:solidFill>
              <a:sysClr val="window" lastClr="FFFFFF">
                <a:lumMod val="95000"/>
              </a:sys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7" name="Rektangel 6"/>
            <xdr:cNvSpPr/>
          </xdr:nvSpPr>
          <xdr:spPr>
            <a:xfrm>
              <a:off x="146304" y="87782"/>
              <a:ext cx="292608" cy="45719"/>
            </a:xfrm>
            <a:prstGeom prst="rect">
              <a:avLst/>
            </a:prstGeom>
            <a:solidFill>
              <a:sysClr val="window" lastClr="FFFFFF">
                <a:lumMod val="95000"/>
              </a:sys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da-DK"/>
            </a:p>
          </xdr:txBody>
        </xdr:sp>
      </xdr:grpSp>
    </xdr:grpSp>
    <xdr:clientData/>
  </xdr:twoCellAnchor>
  <xdr:twoCellAnchor>
    <xdr:from>
      <xdr:col>12</xdr:col>
      <xdr:colOff>0</xdr:colOff>
      <xdr:row>34</xdr:row>
      <xdr:rowOff>38100</xdr:rowOff>
    </xdr:from>
    <xdr:to>
      <xdr:col>17</xdr:col>
      <xdr:colOff>135891</xdr:colOff>
      <xdr:row>44</xdr:row>
      <xdr:rowOff>182243</xdr:rowOff>
    </xdr:to>
    <xdr:grpSp>
      <xdr:nvGrpSpPr>
        <xdr:cNvPr id="32" name="Gruppe 31"/>
        <xdr:cNvGrpSpPr/>
      </xdr:nvGrpSpPr>
      <xdr:grpSpPr>
        <a:xfrm>
          <a:off x="7553325" y="6705600"/>
          <a:ext cx="3279141" cy="2049143"/>
          <a:chOff x="0" y="-95251"/>
          <a:chExt cx="3279823" cy="2049222"/>
        </a:xfrm>
      </xdr:grpSpPr>
      <xdr:grpSp>
        <xdr:nvGrpSpPr>
          <xdr:cNvPr id="33" name="Gruppe 32"/>
          <xdr:cNvGrpSpPr/>
        </xdr:nvGrpSpPr>
        <xdr:grpSpPr>
          <a:xfrm>
            <a:off x="0" y="14630"/>
            <a:ext cx="3122295" cy="1939341"/>
            <a:chOff x="0" y="0"/>
            <a:chExt cx="3122372" cy="1939646"/>
          </a:xfrm>
        </xdr:grpSpPr>
        <xdr:grpSp>
          <xdr:nvGrpSpPr>
            <xdr:cNvPr id="39" name="Gruppe 38"/>
            <xdr:cNvGrpSpPr/>
          </xdr:nvGrpSpPr>
          <xdr:grpSpPr>
            <a:xfrm>
              <a:off x="0" y="0"/>
              <a:ext cx="3122372" cy="1755140"/>
              <a:chOff x="0" y="0"/>
              <a:chExt cx="3122372" cy="1755140"/>
            </a:xfrm>
          </xdr:grpSpPr>
          <xdr:grpSp>
            <xdr:nvGrpSpPr>
              <xdr:cNvPr id="41" name="Gruppe 40"/>
              <xdr:cNvGrpSpPr/>
            </xdr:nvGrpSpPr>
            <xdr:grpSpPr>
              <a:xfrm>
                <a:off x="0" y="0"/>
                <a:ext cx="1404419" cy="1755140"/>
                <a:chOff x="0" y="0"/>
                <a:chExt cx="1404419" cy="1755140"/>
              </a:xfrm>
            </xdr:grpSpPr>
            <xdr:sp macro="" textlink="">
              <xdr:nvSpPr>
                <xdr:cNvPr id="54" name="Rektangel 53"/>
                <xdr:cNvSpPr/>
              </xdr:nvSpPr>
              <xdr:spPr>
                <a:xfrm>
                  <a:off x="724205" y="709575"/>
                  <a:ext cx="672999" cy="102413"/>
                </a:xfrm>
                <a:prstGeom prst="rect">
                  <a:avLst/>
                </a:prstGeom>
                <a:solidFill>
                  <a:sysClr val="window" lastClr="FFFFFF">
                    <a:lumMod val="95000"/>
                  </a:sysClr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da-DK"/>
                </a:p>
              </xdr:txBody>
            </xdr:sp>
            <xdr:grpSp>
              <xdr:nvGrpSpPr>
                <xdr:cNvPr id="55" name="Gruppe 54"/>
                <xdr:cNvGrpSpPr/>
              </xdr:nvGrpSpPr>
              <xdr:grpSpPr>
                <a:xfrm>
                  <a:off x="0" y="0"/>
                  <a:ext cx="1404419" cy="1755140"/>
                  <a:chOff x="-709574" y="-124358"/>
                  <a:chExt cx="1404419" cy="1755140"/>
                </a:xfrm>
              </xdr:grpSpPr>
              <xdr:sp macro="" textlink="">
                <xdr:nvSpPr>
                  <xdr:cNvPr id="56" name="Rektangel 55"/>
                  <xdr:cNvSpPr/>
                </xdr:nvSpPr>
                <xdr:spPr>
                  <a:xfrm>
                    <a:off x="-709574" y="-124358"/>
                    <a:ext cx="460858" cy="1755140"/>
                  </a:xfrm>
                  <a:prstGeom prst="rect">
                    <a:avLst/>
                  </a:prstGeom>
                  <a:solidFill>
                    <a:srgbClr val="70AD47">
                      <a:lumMod val="20000"/>
                      <a:lumOff val="80000"/>
                    </a:srgbClr>
                  </a:solidFill>
                  <a:ln w="12700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da-DK"/>
                  </a:p>
                </xdr:txBody>
              </xdr:sp>
              <xdr:sp macro="" textlink="">
                <xdr:nvSpPr>
                  <xdr:cNvPr id="57" name="Rektangel 56"/>
                  <xdr:cNvSpPr/>
                </xdr:nvSpPr>
                <xdr:spPr>
                  <a:xfrm>
                    <a:off x="-233906" y="226342"/>
                    <a:ext cx="928751" cy="248716"/>
                  </a:xfrm>
                  <a:prstGeom prst="rect">
                    <a:avLst/>
                  </a:prstGeom>
                  <a:solidFill>
                    <a:srgbClr val="4472C4">
                      <a:lumMod val="20000"/>
                      <a:lumOff val="80000"/>
                    </a:srgbClr>
                  </a:solidFill>
                  <a:ln w="12700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da-DK"/>
                  </a:p>
                </xdr:txBody>
              </xdr:sp>
              <xdr:sp macro="" textlink="">
                <xdr:nvSpPr>
                  <xdr:cNvPr id="58" name="Rektangel 57"/>
                  <xdr:cNvSpPr/>
                </xdr:nvSpPr>
                <xdr:spPr>
                  <a:xfrm>
                    <a:off x="-233906" y="899770"/>
                    <a:ext cx="921436" cy="226771"/>
                  </a:xfrm>
                  <a:prstGeom prst="rect">
                    <a:avLst/>
                  </a:prstGeom>
                  <a:solidFill>
                    <a:srgbClr val="5B9BD5"/>
                  </a:solidFill>
                  <a:ln w="12700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da-DK"/>
                  </a:p>
                </xdr:txBody>
              </xdr:sp>
              <xdr:sp macro="" textlink="">
                <xdr:nvSpPr>
                  <xdr:cNvPr id="59" name="Rektangel 58"/>
                  <xdr:cNvSpPr/>
                </xdr:nvSpPr>
                <xdr:spPr>
                  <a:xfrm>
                    <a:off x="14630" y="790042"/>
                    <a:ext cx="672999" cy="102413"/>
                  </a:xfrm>
                  <a:prstGeom prst="rect">
                    <a:avLst/>
                  </a:prstGeom>
                  <a:solidFill>
                    <a:sysClr val="window" lastClr="FFFFFF">
                      <a:lumMod val="95000"/>
                    </a:sysClr>
                  </a:solidFill>
                  <a:ln w="12700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da-DK"/>
                  </a:p>
                </xdr:txBody>
              </xdr:sp>
              <xdr:sp macro="" textlink="">
                <xdr:nvSpPr>
                  <xdr:cNvPr id="60" name="Rektangel 59"/>
                  <xdr:cNvSpPr/>
                </xdr:nvSpPr>
                <xdr:spPr>
                  <a:xfrm>
                    <a:off x="14630" y="687629"/>
                    <a:ext cx="672999" cy="102413"/>
                  </a:xfrm>
                  <a:prstGeom prst="rect">
                    <a:avLst/>
                  </a:prstGeom>
                  <a:solidFill>
                    <a:sysClr val="window" lastClr="FFFFFF">
                      <a:lumMod val="95000"/>
                    </a:sysClr>
                  </a:solidFill>
                  <a:ln w="12700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da-DK"/>
                  </a:p>
                </xdr:txBody>
              </xdr:sp>
              <xdr:sp macro="" textlink="">
                <xdr:nvSpPr>
                  <xdr:cNvPr id="61" name="Rektangel 60"/>
                  <xdr:cNvSpPr/>
                </xdr:nvSpPr>
                <xdr:spPr>
                  <a:xfrm>
                    <a:off x="14630" y="482900"/>
                    <a:ext cx="672998" cy="103510"/>
                  </a:xfrm>
                  <a:prstGeom prst="rect">
                    <a:avLst/>
                  </a:prstGeom>
                  <a:solidFill>
                    <a:sysClr val="window" lastClr="FFFFFF">
                      <a:lumMod val="95000"/>
                    </a:sysClr>
                  </a:solidFill>
                  <a:ln w="12700" cap="flat" cmpd="sng" algn="ctr">
                    <a:solidFill>
                      <a:srgbClr val="5B9BD5">
                        <a:shade val="50000"/>
                      </a:srgbClr>
                    </a:solidFill>
                    <a:prstDash val="solid"/>
                    <a:miter lim="800000"/>
                  </a:ln>
                  <a:effectLst/>
                </xdr:spPr>
                <xdr:txBody>
                  <a:bodyPr rot="0" spcFirstLastPara="0" vert="horz" wrap="square" lIns="91440" tIns="45720" rIns="91440" bIns="45720" numCol="1" spcCol="0" rtlCol="0" fromWordArt="0" anchor="ctr" anchorCtr="0" forceAA="0" compatLnSpc="1">
                    <a:prstTxWarp prst="textNoShape">
                      <a:avLst/>
                    </a:prstTxWarp>
                    <a:noAutofit/>
                  </a:bodyPr>
                  <a:lstStyle/>
                  <a:p>
                    <a:endParaRPr lang="da-DK"/>
                  </a:p>
                </xdr:txBody>
              </xdr:sp>
            </xdr:grpSp>
          </xdr:grpSp>
          <xdr:grpSp>
            <xdr:nvGrpSpPr>
              <xdr:cNvPr id="42" name="Gruppe 41"/>
              <xdr:cNvGrpSpPr/>
            </xdr:nvGrpSpPr>
            <xdr:grpSpPr>
              <a:xfrm>
                <a:off x="636424" y="58502"/>
                <a:ext cx="2485948" cy="1546392"/>
                <a:chOff x="1" y="-20"/>
                <a:chExt cx="2485948" cy="1546392"/>
              </a:xfrm>
            </xdr:grpSpPr>
            <xdr:sp macro="" textlink="">
              <xdr:nvSpPr>
                <xdr:cNvPr id="43" name="Tekstfelt 2"/>
                <xdr:cNvSpPr txBox="1">
                  <a:spLocks noChangeArrowheads="1"/>
                </xdr:cNvSpPr>
              </xdr:nvSpPr>
              <xdr:spPr bwMode="auto">
                <a:xfrm>
                  <a:off x="1053389" y="685330"/>
                  <a:ext cx="883920" cy="246516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PMMA-plader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44" name="Tekstfelt 2"/>
                <xdr:cNvSpPr txBox="1">
                  <a:spLocks noChangeArrowheads="1"/>
                </xdr:cNvSpPr>
              </xdr:nvSpPr>
              <xdr:spPr bwMode="auto">
                <a:xfrm>
                  <a:off x="1053388" y="470703"/>
                  <a:ext cx="939700" cy="282761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Spacere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45" name="Tekstfelt 2"/>
                <xdr:cNvSpPr txBox="1">
                  <a:spLocks noChangeArrowheads="1"/>
                </xdr:cNvSpPr>
              </xdr:nvSpPr>
              <xdr:spPr bwMode="auto">
                <a:xfrm>
                  <a:off x="1053389" y="1248404"/>
                  <a:ext cx="1432560" cy="297968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Mammografiapparat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46" name="Tekstfelt 2"/>
                <xdr:cNvSpPr txBox="1">
                  <a:spLocks noChangeArrowheads="1"/>
                </xdr:cNvSpPr>
              </xdr:nvSpPr>
              <xdr:spPr bwMode="auto">
                <a:xfrm>
                  <a:off x="1053389" y="931847"/>
                  <a:ext cx="1047415" cy="248285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Detektorplade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47" name="Tekstfelt 2"/>
                <xdr:cNvSpPr txBox="1">
                  <a:spLocks noChangeArrowheads="1"/>
                </xdr:cNvSpPr>
              </xdr:nvSpPr>
              <xdr:spPr bwMode="auto">
                <a:xfrm>
                  <a:off x="1053389" y="258373"/>
                  <a:ext cx="1264913" cy="240970"/>
                </a:xfrm>
                <a:prstGeom prst="rect">
                  <a:avLst/>
                </a:prstGeom>
                <a:solidFill>
                  <a:srgbClr val="FFFFFF">
                    <a:alpha val="0"/>
                  </a:srgbClr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ts val="1300"/>
                    </a:lnSpc>
                    <a:spcAft>
                      <a:spcPts val="1300"/>
                    </a:spcAft>
                  </a:pPr>
                  <a:r>
                    <a:rPr lang="da-DK" sz="900" spc="-10">
                      <a:effectLst/>
                      <a:latin typeface="Arial" panose="020B0604020202020204" pitchFamily="34" charset="0"/>
                      <a:ea typeface="Arial" panose="020B0604020202020204" pitchFamily="34" charset="0"/>
                      <a:cs typeface="Times New Roman" panose="02020603050405020304" pitchFamily="18" charset="0"/>
                    </a:rPr>
                    <a:t>Kompressionsplade</a:t>
                  </a:r>
                  <a:endParaRPr lang="da-DK" sz="1000" spc="-10">
                    <a:effectLst/>
                    <a:latin typeface="Arial" panose="020B0604020202020204" pitchFamily="34" charset="0"/>
                    <a:ea typeface="Arial" panose="020B0604020202020204" pitchFamily="34" charset="0"/>
                    <a:cs typeface="Times New Roman" panose="02020603050405020304" pitchFamily="18" charset="0"/>
                  </a:endParaRPr>
                </a:p>
              </xdr:txBody>
            </xdr:sp>
            <xdr:cxnSp macro="">
              <xdr:nvCxnSpPr>
                <xdr:cNvPr id="48" name="Lige pilforbindelse 47"/>
                <xdr:cNvCxnSpPr/>
              </xdr:nvCxnSpPr>
              <xdr:spPr>
                <a:xfrm flipH="1">
                  <a:off x="811988" y="409651"/>
                  <a:ext cx="288000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49" name="Lige pilforbindelse 48"/>
                <xdr:cNvCxnSpPr/>
              </xdr:nvCxnSpPr>
              <xdr:spPr>
                <a:xfrm flipH="1">
                  <a:off x="1" y="1389888"/>
                  <a:ext cx="1080000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50" name="Lige pilforbindelse 49"/>
                <xdr:cNvCxnSpPr/>
              </xdr:nvCxnSpPr>
              <xdr:spPr>
                <a:xfrm flipH="1">
                  <a:off x="585245" y="-20"/>
                  <a:ext cx="533800" cy="439011"/>
                </a:xfrm>
                <a:prstGeom prst="straightConnector1">
                  <a:avLst/>
                </a:prstGeom>
                <a:noFill/>
                <a:ln w="12700" cap="flat" cmpd="sng" algn="ctr">
                  <a:solidFill>
                    <a:srgbClr val="FF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51" name="Lige pilforbindelse 50"/>
                <xdr:cNvCxnSpPr/>
              </xdr:nvCxnSpPr>
              <xdr:spPr>
                <a:xfrm flipH="1">
                  <a:off x="819303" y="826617"/>
                  <a:ext cx="288000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52" name="Lige pilforbindelse 51"/>
                <xdr:cNvCxnSpPr/>
              </xdr:nvCxnSpPr>
              <xdr:spPr>
                <a:xfrm flipH="1">
                  <a:off x="811988" y="1075334"/>
                  <a:ext cx="288000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  <xdr:cxnSp macro="">
              <xdr:nvCxnSpPr>
                <xdr:cNvPr id="53" name="Lige pilforbindelse 52"/>
                <xdr:cNvCxnSpPr/>
              </xdr:nvCxnSpPr>
              <xdr:spPr>
                <a:xfrm flipH="1">
                  <a:off x="811988" y="614477"/>
                  <a:ext cx="288000" cy="0"/>
                </a:xfrm>
                <a:prstGeom prst="straightConnector1">
                  <a:avLst/>
                </a:prstGeom>
                <a:noFill/>
                <a:ln w="9525" cap="flat" cmpd="sng" algn="ctr">
                  <a:solidFill>
                    <a:sysClr val="windowText" lastClr="000000"/>
                  </a:solidFill>
                  <a:prstDash val="solid"/>
                  <a:miter lim="800000"/>
                  <a:tailEnd type="triangle"/>
                </a:ln>
                <a:effectLst/>
              </xdr:spPr>
            </xdr:cxnSp>
          </xdr:grpSp>
        </xdr:grpSp>
        <xdr:sp macro="" textlink="">
          <xdr:nvSpPr>
            <xdr:cNvPr id="40" name="Tekstfelt 2"/>
            <xdr:cNvSpPr txBox="1">
              <a:spLocks noChangeArrowheads="1"/>
            </xdr:cNvSpPr>
          </xdr:nvSpPr>
          <xdr:spPr bwMode="auto">
            <a:xfrm>
              <a:off x="709574" y="1691367"/>
              <a:ext cx="980237" cy="248279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ts val="1300"/>
                </a:lnSpc>
                <a:spcAft>
                  <a:spcPts val="1300"/>
                </a:spcAft>
              </a:pPr>
              <a:r>
                <a:rPr lang="da-DK" sz="900" spc="-10">
                  <a:effectLst/>
                  <a:latin typeface="Arial" panose="020B0604020202020204" pitchFamily="34" charset="0"/>
                  <a:ea typeface="Arial" panose="020B0604020202020204" pitchFamily="34" charset="0"/>
                  <a:cs typeface="Times New Roman" panose="02020603050405020304" pitchFamily="18" charset="0"/>
                </a:rPr>
                <a:t>Set fra siden</a:t>
              </a:r>
              <a:endParaRPr lang="da-DK" sz="10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34" name="Tekstfelt 2"/>
          <xdr:cNvSpPr txBox="1">
            <a:spLocks noChangeArrowheads="1"/>
          </xdr:cNvSpPr>
        </xdr:nvSpPr>
        <xdr:spPr bwMode="auto">
          <a:xfrm>
            <a:off x="1689770" y="-95251"/>
            <a:ext cx="1590053" cy="298454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ts val="1300"/>
              </a:lnSpc>
              <a:spcAft>
                <a:spcPts val="1300"/>
              </a:spcAft>
            </a:pPr>
            <a:r>
              <a:rPr lang="da-DK" sz="900" spc="-10"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Stak af 2 mm PMMA-plader</a:t>
            </a:r>
            <a:endParaRPr lang="da-DK" sz="1000" spc="-1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  <xdr:grpSp>
        <xdr:nvGrpSpPr>
          <xdr:cNvPr id="35" name="Gruppe 34"/>
          <xdr:cNvGrpSpPr/>
        </xdr:nvGrpSpPr>
        <xdr:grpSpPr>
          <a:xfrm>
            <a:off x="929030" y="482730"/>
            <a:ext cx="292547" cy="135390"/>
            <a:chOff x="175358" y="-433560"/>
            <a:chExt cx="292608" cy="135411"/>
          </a:xfrm>
        </xdr:grpSpPr>
        <xdr:sp macro="" textlink="">
          <xdr:nvSpPr>
            <xdr:cNvPr id="36" name="Rektangel 35"/>
            <xdr:cNvSpPr/>
          </xdr:nvSpPr>
          <xdr:spPr>
            <a:xfrm>
              <a:off x="175358" y="-433560"/>
              <a:ext cx="292608" cy="45719"/>
            </a:xfrm>
            <a:prstGeom prst="rect">
              <a:avLst/>
            </a:prstGeom>
            <a:solidFill>
              <a:sysClr val="window" lastClr="FFFFFF">
                <a:lumMod val="95000"/>
              </a:sys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37" name="Rektangel 36"/>
            <xdr:cNvSpPr/>
          </xdr:nvSpPr>
          <xdr:spPr>
            <a:xfrm>
              <a:off x="175358" y="-343868"/>
              <a:ext cx="292608" cy="45719"/>
            </a:xfrm>
            <a:prstGeom prst="rect">
              <a:avLst/>
            </a:prstGeom>
            <a:solidFill>
              <a:sysClr val="window" lastClr="FFFFFF">
                <a:lumMod val="95000"/>
              </a:sys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da-DK"/>
            </a:p>
          </xdr:txBody>
        </xdr:sp>
        <xdr:sp macro="" textlink="">
          <xdr:nvSpPr>
            <xdr:cNvPr id="38" name="Rektangel 37"/>
            <xdr:cNvSpPr/>
          </xdr:nvSpPr>
          <xdr:spPr>
            <a:xfrm>
              <a:off x="175358" y="-389587"/>
              <a:ext cx="292608" cy="45719"/>
            </a:xfrm>
            <a:prstGeom prst="rect">
              <a:avLst/>
            </a:prstGeom>
            <a:solidFill>
              <a:sysClr val="window" lastClr="FFFFFF">
                <a:lumMod val="95000"/>
              </a:sysClr>
            </a:solidFill>
            <a:ln w="12700" cap="flat" cmpd="sng" algn="ctr">
              <a:solidFill>
                <a:srgbClr val="5B9BD5">
                  <a:shade val="50000"/>
                </a:srgbClr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da-DK"/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21</xdr:row>
      <xdr:rowOff>9525</xdr:rowOff>
    </xdr:from>
    <xdr:to>
      <xdr:col>12</xdr:col>
      <xdr:colOff>133350</xdr:colOff>
      <xdr:row>30</xdr:row>
      <xdr:rowOff>38100</xdr:rowOff>
    </xdr:to>
    <xdr:grpSp>
      <xdr:nvGrpSpPr>
        <xdr:cNvPr id="13" name="Gruppe 12"/>
        <xdr:cNvGrpSpPr/>
      </xdr:nvGrpSpPr>
      <xdr:grpSpPr>
        <a:xfrm>
          <a:off x="5153025" y="4238625"/>
          <a:ext cx="2552700" cy="1743075"/>
          <a:chOff x="4391025" y="4695825"/>
          <a:chExt cx="2419350" cy="1743075"/>
        </a:xfrm>
      </xdr:grpSpPr>
      <xdr:grpSp>
        <xdr:nvGrpSpPr>
          <xdr:cNvPr id="7" name="Gruppe 6"/>
          <xdr:cNvGrpSpPr/>
        </xdr:nvGrpSpPr>
        <xdr:grpSpPr>
          <a:xfrm>
            <a:off x="4391025" y="4695825"/>
            <a:ext cx="2419350" cy="1724025"/>
            <a:chOff x="6219825" y="4791075"/>
            <a:chExt cx="2419350" cy="1343025"/>
          </a:xfrm>
        </xdr:grpSpPr>
        <xdr:sp macro="" textlink="">
          <xdr:nvSpPr>
            <xdr:cNvPr id="2" name="Rektangel 1"/>
            <xdr:cNvSpPr/>
          </xdr:nvSpPr>
          <xdr:spPr>
            <a:xfrm>
              <a:off x="6219825" y="4791075"/>
              <a:ext cx="2419350" cy="1343025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a-DK" sz="1100"/>
            </a:p>
          </xdr:txBody>
        </xdr:sp>
        <xdr:sp macro="" textlink="">
          <xdr:nvSpPr>
            <xdr:cNvPr id="3" name="Tekstboks 2"/>
            <xdr:cNvSpPr txBox="1"/>
          </xdr:nvSpPr>
          <xdr:spPr>
            <a:xfrm>
              <a:off x="6229350" y="5838825"/>
              <a:ext cx="390525" cy="2952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100"/>
                <a:t>TV </a:t>
              </a:r>
            </a:p>
          </xdr:txBody>
        </xdr:sp>
        <xdr:sp macro="" textlink="">
          <xdr:nvSpPr>
            <xdr:cNvPr id="6" name="Tekstboks 5"/>
            <xdr:cNvSpPr txBox="1"/>
          </xdr:nvSpPr>
          <xdr:spPr>
            <a:xfrm>
              <a:off x="8220075" y="5829300"/>
              <a:ext cx="390525" cy="2952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100"/>
                <a:t>TH </a:t>
              </a:r>
            </a:p>
          </xdr:txBody>
        </xdr:sp>
      </xdr:grpSp>
      <xdr:sp macro="" textlink="">
        <xdr:nvSpPr>
          <xdr:cNvPr id="9" name="Tekstboks 8"/>
          <xdr:cNvSpPr txBox="1"/>
        </xdr:nvSpPr>
        <xdr:spPr>
          <a:xfrm>
            <a:off x="4733925" y="5238751"/>
            <a:ext cx="1819275" cy="12001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a-DK" sz="1100"/>
              <a:t>TV = Thorax, venstre hjørne</a:t>
            </a:r>
          </a:p>
          <a:p>
            <a:r>
              <a:rPr lang="da-DK" sz="1100"/>
              <a:t>TH = Thorax, højre hjørne</a:t>
            </a:r>
          </a:p>
          <a:p>
            <a:endParaRPr lang="da-DK" sz="1100"/>
          </a:p>
          <a:p>
            <a:endParaRPr lang="da-DK" sz="1100"/>
          </a:p>
          <a:p>
            <a:endParaRPr lang="da-DK" sz="1100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a-DK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            Thorax</a:t>
            </a:r>
            <a:r>
              <a:rPr lang="da-DK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kant</a:t>
            </a:r>
            <a:endParaRPr lang="da-DK">
              <a:effectLst/>
            </a:endParaRPr>
          </a:p>
          <a:p>
            <a:endParaRPr lang="da-DK" sz="1100"/>
          </a:p>
          <a:p>
            <a:endParaRPr lang="da-DK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23812</xdr:rowOff>
    </xdr:from>
    <xdr:to>
      <xdr:col>10</xdr:col>
      <xdr:colOff>590550</xdr:colOff>
      <xdr:row>56</xdr:row>
      <xdr:rowOff>114300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161926</xdr:colOff>
      <xdr:row>38</xdr:row>
      <xdr:rowOff>28575</xdr:rowOff>
    </xdr:from>
    <xdr:to>
      <xdr:col>18</xdr:col>
      <xdr:colOff>9526</xdr:colOff>
      <xdr:row>56</xdr:row>
      <xdr:rowOff>119063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18</xdr:row>
      <xdr:rowOff>0</xdr:rowOff>
    </xdr:from>
    <xdr:to>
      <xdr:col>13</xdr:col>
      <xdr:colOff>361949</xdr:colOff>
      <xdr:row>32</xdr:row>
      <xdr:rowOff>76200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47625</xdr:colOff>
      <xdr:row>54</xdr:row>
      <xdr:rowOff>57150</xdr:rowOff>
    </xdr:from>
    <xdr:to>
      <xdr:col>14</xdr:col>
      <xdr:colOff>9525</xdr:colOff>
      <xdr:row>68</xdr:row>
      <xdr:rowOff>133350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s@sis.d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/>
  </sheetViews>
  <sheetFormatPr defaultRowHeight="15" x14ac:dyDescent="0.25"/>
  <cols>
    <col min="1" max="1" width="24.85546875" customWidth="1"/>
  </cols>
  <sheetData>
    <row r="1" spans="1:12" ht="18.75" x14ac:dyDescent="0.3">
      <c r="A1" s="123" t="s">
        <v>705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</row>
    <row r="3" spans="1:12" x14ac:dyDescent="0.25">
      <c r="A3" t="s">
        <v>674</v>
      </c>
    </row>
    <row r="4" spans="1:12" x14ac:dyDescent="0.25">
      <c r="A4" t="s">
        <v>704</v>
      </c>
    </row>
    <row r="6" spans="1:12" x14ac:dyDescent="0.25">
      <c r="A6" t="s">
        <v>697</v>
      </c>
    </row>
    <row r="7" spans="1:12" x14ac:dyDescent="0.25">
      <c r="A7" t="s">
        <v>698</v>
      </c>
    </row>
    <row r="9" spans="1:12" x14ac:dyDescent="0.25">
      <c r="A9" t="s">
        <v>703</v>
      </c>
    </row>
    <row r="10" spans="1:12" x14ac:dyDescent="0.25">
      <c r="A10" t="s">
        <v>684</v>
      </c>
    </row>
    <row r="12" spans="1:12" x14ac:dyDescent="0.25">
      <c r="A12" t="s">
        <v>675</v>
      </c>
    </row>
    <row r="13" spans="1:12" x14ac:dyDescent="0.25">
      <c r="A13" t="s">
        <v>699</v>
      </c>
    </row>
    <row r="15" spans="1:12" x14ac:dyDescent="0.25">
      <c r="A15" t="s">
        <v>702</v>
      </c>
    </row>
    <row r="16" spans="1:12" x14ac:dyDescent="0.25">
      <c r="A16" t="s">
        <v>676</v>
      </c>
    </row>
    <row r="18" spans="1:12" x14ac:dyDescent="0.25">
      <c r="A18" t="s">
        <v>685</v>
      </c>
    </row>
    <row r="19" spans="1:12" x14ac:dyDescent="0.25">
      <c r="A19" t="s">
        <v>677</v>
      </c>
    </row>
    <row r="21" spans="1:12" x14ac:dyDescent="0.25">
      <c r="A21" t="s">
        <v>678</v>
      </c>
    </row>
    <row r="22" spans="1:12" x14ac:dyDescent="0.25">
      <c r="A22" t="s">
        <v>679</v>
      </c>
    </row>
    <row r="23" spans="1:12" x14ac:dyDescent="0.25">
      <c r="A23" t="s">
        <v>680</v>
      </c>
    </row>
    <row r="25" spans="1:12" x14ac:dyDescent="0.25">
      <c r="A25" t="s">
        <v>681</v>
      </c>
    </row>
    <row r="26" spans="1:12" x14ac:dyDescent="0.25">
      <c r="A26" t="s">
        <v>700</v>
      </c>
    </row>
    <row r="27" spans="1:12" x14ac:dyDescent="0.25">
      <c r="A27" t="s">
        <v>692</v>
      </c>
      <c r="B27" t="s">
        <v>687</v>
      </c>
    </row>
    <row r="28" spans="1:12" x14ac:dyDescent="0.25">
      <c r="A28" t="s">
        <v>693</v>
      </c>
      <c r="B28" t="s">
        <v>688</v>
      </c>
    </row>
    <row r="30" spans="1:12" ht="18.75" x14ac:dyDescent="0.3">
      <c r="A30" s="123" t="s">
        <v>683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</row>
    <row r="31" spans="1:12" x14ac:dyDescent="0.25">
      <c r="A31" s="458" t="s">
        <v>240</v>
      </c>
      <c r="B31" s="468" t="s">
        <v>701</v>
      </c>
      <c r="C31" s="469"/>
      <c r="D31" s="469"/>
      <c r="E31" s="469"/>
      <c r="F31" s="463"/>
      <c r="G31" s="463"/>
      <c r="H31" s="463"/>
      <c r="I31" s="463"/>
      <c r="J31" s="463"/>
      <c r="K31" s="463"/>
      <c r="L31" s="709"/>
    </row>
    <row r="32" spans="1:12" x14ac:dyDescent="0.25">
      <c r="A32" s="459" t="s">
        <v>240</v>
      </c>
      <c r="B32" s="468" t="s">
        <v>672</v>
      </c>
      <c r="C32" s="469"/>
      <c r="D32" s="469"/>
      <c r="E32" s="469"/>
      <c r="F32" s="463"/>
      <c r="G32" s="463"/>
      <c r="H32" s="463"/>
      <c r="I32" s="463"/>
      <c r="J32" s="463"/>
      <c r="K32" s="463"/>
      <c r="L32" s="709"/>
    </row>
    <row r="33" spans="1:12" x14ac:dyDescent="0.25">
      <c r="A33" s="460" t="s">
        <v>240</v>
      </c>
      <c r="B33" s="468" t="s">
        <v>686</v>
      </c>
      <c r="C33" s="469"/>
      <c r="D33" s="469"/>
      <c r="E33" s="469"/>
      <c r="F33" s="463"/>
      <c r="G33" s="463"/>
      <c r="H33" s="463"/>
      <c r="I33" s="463"/>
      <c r="J33" s="463"/>
      <c r="K33" s="463"/>
      <c r="L33" s="709"/>
    </row>
    <row r="34" spans="1:12" x14ac:dyDescent="0.25">
      <c r="A34" s="461" t="s">
        <v>240</v>
      </c>
      <c r="B34" s="468" t="s">
        <v>673</v>
      </c>
      <c r="C34" s="469"/>
      <c r="D34" s="469"/>
      <c r="E34" s="469"/>
      <c r="F34" s="463"/>
      <c r="G34" s="463"/>
      <c r="H34" s="463"/>
      <c r="I34" s="463"/>
      <c r="J34" s="463"/>
      <c r="K34" s="463"/>
      <c r="L34" s="709"/>
    </row>
    <row r="36" spans="1:12" ht="18.75" x14ac:dyDescent="0.3">
      <c r="A36" s="123" t="s">
        <v>682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</row>
    <row r="37" spans="1:12" x14ac:dyDescent="0.25">
      <c r="A37" s="456" t="s">
        <v>237</v>
      </c>
      <c r="B37" s="462" t="s">
        <v>337</v>
      </c>
      <c r="C37" s="463"/>
      <c r="D37" s="464"/>
      <c r="E37" s="465"/>
      <c r="F37" s="463"/>
      <c r="G37" s="463"/>
      <c r="H37" s="463"/>
      <c r="I37" s="463"/>
      <c r="J37" s="463"/>
      <c r="K37" s="463"/>
      <c r="L37" s="709"/>
    </row>
    <row r="38" spans="1:12" x14ac:dyDescent="0.25">
      <c r="A38" s="738" t="s">
        <v>691</v>
      </c>
      <c r="B38" s="462"/>
      <c r="C38" s="463"/>
      <c r="D38" s="464"/>
      <c r="E38" s="465"/>
      <c r="F38" s="463"/>
      <c r="G38" s="463"/>
      <c r="H38" s="463"/>
      <c r="I38" s="463"/>
      <c r="J38" s="463"/>
      <c r="K38" s="463"/>
      <c r="L38" s="709"/>
    </row>
    <row r="39" spans="1:12" x14ac:dyDescent="0.25">
      <c r="A39" s="456" t="s">
        <v>238</v>
      </c>
      <c r="B39" s="462" t="s">
        <v>664</v>
      </c>
      <c r="C39" s="466"/>
      <c r="D39" s="466"/>
      <c r="E39" s="465"/>
      <c r="F39" s="463"/>
      <c r="G39" s="463"/>
      <c r="H39" s="463"/>
      <c r="I39" s="463"/>
      <c r="J39" s="463"/>
      <c r="K39" s="463"/>
      <c r="L39" s="709"/>
    </row>
    <row r="40" spans="1:12" x14ac:dyDescent="0.25">
      <c r="A40" s="457" t="s">
        <v>242</v>
      </c>
      <c r="B40" s="467" t="s">
        <v>339</v>
      </c>
      <c r="C40" s="466"/>
      <c r="D40" s="466"/>
      <c r="E40" s="465"/>
      <c r="F40" s="463"/>
      <c r="G40" s="463"/>
      <c r="H40" s="463"/>
      <c r="I40" s="463"/>
      <c r="J40" s="463"/>
      <c r="K40" s="463"/>
      <c r="L40" s="709"/>
    </row>
    <row r="50" spans="3:3" x14ac:dyDescent="0.25">
      <c r="C50" t="s">
        <v>239</v>
      </c>
    </row>
  </sheetData>
  <hyperlinks>
    <hyperlink ref="B40" r:id="rId1"/>
  </hyperlinks>
  <pageMargins left="0.51181102362204722" right="0.35433070866141736" top="0.74803149606299213" bottom="0.74803149606299213" header="0.31496062992125984" footer="0.31496062992125984"/>
  <pageSetup paperSize="9" scale="75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9"/>
  <sheetViews>
    <sheetView topLeftCell="A110" workbookViewId="0">
      <selection activeCell="T83" sqref="T83"/>
    </sheetView>
  </sheetViews>
  <sheetFormatPr defaultColWidth="9.140625" defaultRowHeight="15" x14ac:dyDescent="0.25"/>
  <cols>
    <col min="1" max="2" width="9.140625" style="64"/>
    <col min="3" max="3" width="11.85546875" style="64" customWidth="1"/>
    <col min="4" max="8" width="9.140625" style="64"/>
    <col min="9" max="9" width="9" style="64" customWidth="1"/>
    <col min="10" max="22" width="9.140625" style="64"/>
    <col min="23" max="23" width="12.5703125" style="64" bestFit="1" customWidth="1"/>
    <col min="24" max="16384" width="9.140625" style="64"/>
  </cols>
  <sheetData>
    <row r="1" spans="1:28" x14ac:dyDescent="0.25">
      <c r="A1" s="336" t="s">
        <v>505</v>
      </c>
    </row>
    <row r="3" spans="1:28" x14ac:dyDescent="0.25">
      <c r="A3" s="63" t="s">
        <v>90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80"/>
      <c r="Q3" s="63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</row>
    <row r="4" spans="1:28" x14ac:dyDescent="0.25"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</row>
    <row r="5" spans="1:28" x14ac:dyDescent="0.25"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28" x14ac:dyDescent="0.25">
      <c r="A6" s="349"/>
      <c r="B6" s="472"/>
      <c r="C6" s="472"/>
      <c r="D6" s="804" t="s">
        <v>165</v>
      </c>
      <c r="E6" s="804"/>
      <c r="F6" s="804"/>
      <c r="G6" s="804"/>
      <c r="H6" s="804"/>
      <c r="I6" s="804"/>
      <c r="J6" s="804"/>
      <c r="K6" s="804"/>
      <c r="L6" s="804"/>
      <c r="M6" s="804"/>
      <c r="N6" s="805"/>
      <c r="O6" s="348"/>
      <c r="P6" s="812" t="s">
        <v>218</v>
      </c>
      <c r="Q6" s="812"/>
      <c r="R6" s="812"/>
      <c r="S6" s="812"/>
      <c r="T6" s="812"/>
      <c r="V6" s="812" t="s">
        <v>271</v>
      </c>
      <c r="W6" s="812"/>
      <c r="X6" s="812"/>
      <c r="Z6" s="812" t="s">
        <v>272</v>
      </c>
      <c r="AA6" s="812"/>
      <c r="AB6" s="812"/>
    </row>
    <row r="7" spans="1:28" x14ac:dyDescent="0.25">
      <c r="A7" s="351" t="s">
        <v>84</v>
      </c>
      <c r="B7" s="473" t="s">
        <v>85</v>
      </c>
      <c r="C7" s="474" t="s">
        <v>166</v>
      </c>
      <c r="D7" s="806" t="s">
        <v>167</v>
      </c>
      <c r="E7" s="807"/>
      <c r="F7" s="807"/>
      <c r="G7" s="807"/>
      <c r="H7" s="807"/>
      <c r="I7" s="807"/>
      <c r="J7" s="807"/>
      <c r="K7" s="807"/>
      <c r="L7" s="807"/>
      <c r="M7" s="807"/>
      <c r="N7" s="808"/>
      <c r="O7" s="348"/>
      <c r="P7" s="361" t="s">
        <v>84</v>
      </c>
      <c r="Q7" s="383"/>
      <c r="R7" s="383"/>
      <c r="S7" s="383"/>
      <c r="T7" s="384"/>
      <c r="V7" s="361" t="s">
        <v>84</v>
      </c>
      <c r="W7" s="383"/>
      <c r="X7" s="384"/>
      <c r="Z7" s="361" t="s">
        <v>84</v>
      </c>
      <c r="AA7" s="383"/>
      <c r="AB7" s="384"/>
    </row>
    <row r="8" spans="1:28" x14ac:dyDescent="0.25">
      <c r="A8" s="353" t="s">
        <v>51</v>
      </c>
      <c r="B8" s="475" t="s">
        <v>92</v>
      </c>
      <c r="C8" s="476" t="s">
        <v>168</v>
      </c>
      <c r="D8" s="809" t="s">
        <v>86</v>
      </c>
      <c r="E8" s="810"/>
      <c r="F8" s="810"/>
      <c r="G8" s="810"/>
      <c r="H8" s="810"/>
      <c r="I8" s="810"/>
      <c r="J8" s="810"/>
      <c r="K8" s="810"/>
      <c r="L8" s="810"/>
      <c r="M8" s="810"/>
      <c r="N8" s="811"/>
      <c r="O8" s="348"/>
      <c r="P8" s="364" t="s">
        <v>114</v>
      </c>
      <c r="Q8" s="385"/>
      <c r="R8" s="385"/>
      <c r="S8" s="385"/>
      <c r="T8" s="386"/>
      <c r="V8" s="364" t="s">
        <v>114</v>
      </c>
      <c r="W8" s="385"/>
      <c r="X8" s="365" t="s">
        <v>11</v>
      </c>
      <c r="Z8" s="364" t="s">
        <v>114</v>
      </c>
      <c r="AA8" s="385"/>
      <c r="AB8" s="365" t="s">
        <v>11</v>
      </c>
    </row>
    <row r="9" spans="1:28" x14ac:dyDescent="0.25">
      <c r="A9" s="353" t="s">
        <v>83</v>
      </c>
      <c r="B9" s="475" t="s">
        <v>83</v>
      </c>
      <c r="C9" s="476" t="s">
        <v>4</v>
      </c>
      <c r="D9" s="368">
        <v>0.3</v>
      </c>
      <c r="E9" s="369">
        <v>0.35</v>
      </c>
      <c r="F9" s="369">
        <v>0.4</v>
      </c>
      <c r="G9" s="369">
        <v>0.45</v>
      </c>
      <c r="H9" s="369">
        <v>0.5</v>
      </c>
      <c r="I9" s="369">
        <v>0.55000000000000004</v>
      </c>
      <c r="J9" s="369">
        <v>0.6</v>
      </c>
      <c r="K9" s="369">
        <v>0.65</v>
      </c>
      <c r="L9" s="369">
        <v>0.7</v>
      </c>
      <c r="M9" s="369">
        <v>0.75</v>
      </c>
      <c r="N9" s="370">
        <v>0.8</v>
      </c>
      <c r="O9" s="348"/>
      <c r="P9" s="387" t="s">
        <v>83</v>
      </c>
      <c r="Q9" s="67" t="s">
        <v>87</v>
      </c>
      <c r="R9" s="67" t="s">
        <v>88</v>
      </c>
      <c r="S9" s="67" t="s">
        <v>55</v>
      </c>
      <c r="T9" s="388" t="s">
        <v>89</v>
      </c>
      <c r="V9" s="387" t="s">
        <v>83</v>
      </c>
      <c r="W9" s="67" t="s">
        <v>54</v>
      </c>
      <c r="X9" s="367" t="s">
        <v>95</v>
      </c>
      <c r="Z9" s="387" t="s">
        <v>83</v>
      </c>
      <c r="AA9" s="67" t="s">
        <v>54</v>
      </c>
      <c r="AB9" s="367" t="s">
        <v>95</v>
      </c>
    </row>
    <row r="10" spans="1:28" x14ac:dyDescent="0.25">
      <c r="A10" s="355">
        <v>20</v>
      </c>
      <c r="B10" s="371">
        <v>21</v>
      </c>
      <c r="C10" s="371">
        <v>97</v>
      </c>
      <c r="D10" s="372">
        <v>0.378</v>
      </c>
      <c r="E10" s="373">
        <v>0.42099999999999999</v>
      </c>
      <c r="F10" s="373">
        <v>0.46</v>
      </c>
      <c r="G10" s="373">
        <v>0.496</v>
      </c>
      <c r="H10" s="373">
        <v>0.52900000000000003</v>
      </c>
      <c r="I10" s="373">
        <v>0.55900000000000005</v>
      </c>
      <c r="J10" s="373">
        <v>0.58499999999999996</v>
      </c>
      <c r="K10" s="373">
        <v>0.60899999999999999</v>
      </c>
      <c r="L10" s="373">
        <v>0.63100000000000001</v>
      </c>
      <c r="M10" s="373">
        <v>0.65</v>
      </c>
      <c r="N10" s="374">
        <v>0.66900000000000004</v>
      </c>
      <c r="O10" s="348"/>
      <c r="P10" s="361">
        <v>20</v>
      </c>
      <c r="Q10" s="362">
        <v>0.32790000000000002</v>
      </c>
      <c r="R10" s="362">
        <v>-1.1032999999999999</v>
      </c>
      <c r="S10" s="362">
        <v>1.4771000000000001</v>
      </c>
      <c r="T10" s="363">
        <v>2.5100000000000001E-2</v>
      </c>
      <c r="V10" s="361">
        <v>20</v>
      </c>
      <c r="W10" s="395">
        <f>Q10*X10^3+R10*X10^2+S10*X10+T10</f>
        <v>0.55321597674590006</v>
      </c>
      <c r="X10" s="396">
        <f>'5. Automatik (AEC)'!L76</f>
        <v>0.54100000000000004</v>
      </c>
      <c r="Z10" s="361">
        <v>20</v>
      </c>
      <c r="AA10" s="397">
        <f>Q10*AB10^3+R10*AB10^2+S10*AB10+T10</f>
        <v>0.55321597674590006</v>
      </c>
      <c r="AB10" s="402">
        <f>'5. Automatik (AEC)'!K92</f>
        <v>0.54100000000000004</v>
      </c>
    </row>
    <row r="11" spans="1:28" x14ac:dyDescent="0.25">
      <c r="A11" s="357">
        <v>30</v>
      </c>
      <c r="B11" s="375">
        <v>32</v>
      </c>
      <c r="C11" s="375">
        <v>67</v>
      </c>
      <c r="D11" s="376">
        <v>0.26100000000000001</v>
      </c>
      <c r="E11" s="377">
        <v>0.29399999999999998</v>
      </c>
      <c r="F11" s="377">
        <v>0.32600000000000001</v>
      </c>
      <c r="G11" s="377">
        <v>0.35699999999999998</v>
      </c>
      <c r="H11" s="377">
        <v>0.38800000000000001</v>
      </c>
      <c r="I11" s="377">
        <v>0.41899999999999998</v>
      </c>
      <c r="J11" s="377">
        <v>0.44800000000000001</v>
      </c>
      <c r="K11" s="377">
        <v>0.47299999999999998</v>
      </c>
      <c r="L11" s="377">
        <v>0.495</v>
      </c>
      <c r="M11" s="377">
        <v>0.51600000000000001</v>
      </c>
      <c r="N11" s="378">
        <v>0.53600000000000003</v>
      </c>
      <c r="O11" s="348"/>
      <c r="P11" s="364">
        <v>30</v>
      </c>
      <c r="Q11" s="66">
        <v>-0.47860000000000003</v>
      </c>
      <c r="R11" s="66">
        <v>0.46339999999999998</v>
      </c>
      <c r="S11" s="66">
        <v>0.50260000000000005</v>
      </c>
      <c r="T11" s="365">
        <v>8.14E-2</v>
      </c>
      <c r="V11" s="364">
        <v>30</v>
      </c>
      <c r="W11" s="389">
        <f t="shared" ref="W11:W17" si="0">Q11*X11^3+R11*X11^2+S11*X11+T11</f>
        <v>0.41953613701120007</v>
      </c>
      <c r="X11" s="390">
        <f>'5. Automatik (AEC)'!L77</f>
        <v>0.55200000000000005</v>
      </c>
      <c r="Z11" s="364">
        <v>30</v>
      </c>
      <c r="AA11" s="406">
        <f t="shared" ref="AA11:AA17" si="1">Q11*AB11^3+R11*AB11^2+S11*AB11+T11</f>
        <v>0.41953613701120007</v>
      </c>
      <c r="AB11" s="403">
        <f>'5. Automatik (AEC)'!K93</f>
        <v>0.55200000000000005</v>
      </c>
    </row>
    <row r="12" spans="1:28" x14ac:dyDescent="0.25">
      <c r="A12" s="357">
        <v>40</v>
      </c>
      <c r="B12" s="375">
        <v>45</v>
      </c>
      <c r="C12" s="375">
        <v>41</v>
      </c>
      <c r="D12" s="376">
        <v>0.183</v>
      </c>
      <c r="E12" s="377">
        <v>0.20799999999999999</v>
      </c>
      <c r="F12" s="377">
        <v>0.23200000000000001</v>
      </c>
      <c r="G12" s="377">
        <v>0.25800000000000001</v>
      </c>
      <c r="H12" s="377">
        <v>0.28499999999999998</v>
      </c>
      <c r="I12" s="377">
        <v>0.311</v>
      </c>
      <c r="J12" s="377">
        <v>0.33900000000000002</v>
      </c>
      <c r="K12" s="377">
        <v>0.36599999999999999</v>
      </c>
      <c r="L12" s="377">
        <v>0.38700000000000001</v>
      </c>
      <c r="M12" s="377">
        <v>0.40600000000000003</v>
      </c>
      <c r="N12" s="378">
        <v>0.42499999999999999</v>
      </c>
      <c r="O12" s="348"/>
      <c r="P12" s="364">
        <v>40</v>
      </c>
      <c r="Q12" s="66">
        <v>-0.8982</v>
      </c>
      <c r="R12" s="66">
        <v>1.3492</v>
      </c>
      <c r="S12" s="66">
        <v>-0.13139999999999999</v>
      </c>
      <c r="T12" s="365">
        <v>0.126</v>
      </c>
      <c r="V12" s="364">
        <v>40</v>
      </c>
      <c r="W12" s="389">
        <f t="shared" si="0"/>
        <v>0.32045610932499996</v>
      </c>
      <c r="X12" s="401">
        <f>'5. Automatik (AEC)'!L78</f>
        <v>0.56499999999999995</v>
      </c>
      <c r="Z12" s="364">
        <v>40</v>
      </c>
      <c r="AA12" s="406">
        <f t="shared" si="1"/>
        <v>0.32045610932499996</v>
      </c>
      <c r="AB12" s="403">
        <f>'5. Automatik (AEC)'!K94</f>
        <v>0.56499999999999995</v>
      </c>
    </row>
    <row r="13" spans="1:28" x14ac:dyDescent="0.25">
      <c r="A13" s="357">
        <v>45</v>
      </c>
      <c r="B13" s="375">
        <v>53</v>
      </c>
      <c r="C13" s="375">
        <v>29</v>
      </c>
      <c r="D13" s="376">
        <v>0.155</v>
      </c>
      <c r="E13" s="377">
        <v>0.17699999999999999</v>
      </c>
      <c r="F13" s="377">
        <v>0.19800000000000001</v>
      </c>
      <c r="G13" s="377">
        <v>0.22</v>
      </c>
      <c r="H13" s="377">
        <v>0.245</v>
      </c>
      <c r="I13" s="377">
        <v>0.27200000000000002</v>
      </c>
      <c r="J13" s="377">
        <v>0.29499999999999998</v>
      </c>
      <c r="K13" s="377">
        <v>0.317</v>
      </c>
      <c r="L13" s="377">
        <v>0.33600000000000002</v>
      </c>
      <c r="M13" s="377">
        <v>0.35399999999999998</v>
      </c>
      <c r="N13" s="378">
        <v>0.372</v>
      </c>
      <c r="O13" s="348"/>
      <c r="P13" s="364">
        <v>45</v>
      </c>
      <c r="Q13" s="66">
        <v>-0.80649999999999999</v>
      </c>
      <c r="R13" s="66">
        <v>1.2165999999999999</v>
      </c>
      <c r="S13" s="66">
        <v>-0.12479999999999999</v>
      </c>
      <c r="T13" s="365">
        <v>0.105</v>
      </c>
      <c r="V13" s="364">
        <v>45</v>
      </c>
      <c r="W13" s="389">
        <f t="shared" si="0"/>
        <v>0.28025505062849998</v>
      </c>
      <c r="X13" s="390">
        <f>'5. Automatik (AEC)'!L79</f>
        <v>0.57099999999999995</v>
      </c>
      <c r="Z13" s="364">
        <v>45</v>
      </c>
      <c r="AA13" s="406">
        <f t="shared" si="1"/>
        <v>0.28025505062849998</v>
      </c>
      <c r="AB13" s="403">
        <f>'5. Automatik (AEC)'!K95</f>
        <v>0.57099999999999995</v>
      </c>
    </row>
    <row r="14" spans="1:28" x14ac:dyDescent="0.25">
      <c r="A14" s="357">
        <v>50</v>
      </c>
      <c r="B14" s="375">
        <v>60</v>
      </c>
      <c r="C14" s="375">
        <v>20</v>
      </c>
      <c r="D14" s="376">
        <v>0.13500000000000001</v>
      </c>
      <c r="E14" s="377">
        <v>0.154</v>
      </c>
      <c r="F14" s="377">
        <v>0.17199999999999999</v>
      </c>
      <c r="G14" s="377">
        <v>0.192</v>
      </c>
      <c r="H14" s="377">
        <v>0.214</v>
      </c>
      <c r="I14" s="377">
        <v>0.23599999999999999</v>
      </c>
      <c r="J14" s="377">
        <v>0.26100000000000001</v>
      </c>
      <c r="K14" s="377">
        <v>0.28199999999999997</v>
      </c>
      <c r="L14" s="377">
        <v>0.3</v>
      </c>
      <c r="M14" s="377">
        <v>0.317</v>
      </c>
      <c r="N14" s="378">
        <v>0.33300000000000002</v>
      </c>
      <c r="O14" s="348"/>
      <c r="P14" s="364">
        <v>50</v>
      </c>
      <c r="Q14" s="66">
        <v>-0.90439999999999998</v>
      </c>
      <c r="R14" s="66">
        <v>1.4434</v>
      </c>
      <c r="S14" s="66">
        <v>-0.317</v>
      </c>
      <c r="T14" s="365">
        <v>0.1255</v>
      </c>
      <c r="V14" s="364">
        <v>50</v>
      </c>
      <c r="W14" s="389">
        <f t="shared" si="0"/>
        <v>0.25118495955959996</v>
      </c>
      <c r="X14" s="390">
        <f>'5. Automatik (AEC)'!L80</f>
        <v>0.58099999999999996</v>
      </c>
      <c r="Z14" s="364">
        <v>50</v>
      </c>
      <c r="AA14" s="406">
        <f t="shared" si="1"/>
        <v>0.25118495955959996</v>
      </c>
      <c r="AB14" s="403">
        <f>'5. Automatik (AEC)'!K96</f>
        <v>0.58099999999999996</v>
      </c>
    </row>
    <row r="15" spans="1:28" x14ac:dyDescent="0.25">
      <c r="A15" s="357">
        <v>60</v>
      </c>
      <c r="B15" s="375">
        <v>75</v>
      </c>
      <c r="C15" s="375">
        <v>9</v>
      </c>
      <c r="D15" s="376">
        <v>0.106</v>
      </c>
      <c r="E15" s="377">
        <v>0.121</v>
      </c>
      <c r="F15" s="377">
        <v>0.13600000000000001</v>
      </c>
      <c r="G15" s="377">
        <v>0.152</v>
      </c>
      <c r="H15" s="377">
        <v>0.16600000000000001</v>
      </c>
      <c r="I15" s="377">
        <v>0.189</v>
      </c>
      <c r="J15" s="377">
        <v>0.21</v>
      </c>
      <c r="K15" s="377">
        <v>0.22800000000000001</v>
      </c>
      <c r="L15" s="377">
        <v>0.24299999999999999</v>
      </c>
      <c r="M15" s="377">
        <v>0.25700000000000001</v>
      </c>
      <c r="N15" s="378">
        <v>0.27200000000000002</v>
      </c>
      <c r="O15" s="348"/>
      <c r="P15" s="364">
        <v>60</v>
      </c>
      <c r="Q15" s="66">
        <v>-0.8609</v>
      </c>
      <c r="R15" s="66">
        <v>1.4228000000000001</v>
      </c>
      <c r="S15" s="66">
        <v>-0.4017</v>
      </c>
      <c r="T15" s="365">
        <v>0.12280000000000001</v>
      </c>
      <c r="V15" s="364">
        <v>60</v>
      </c>
      <c r="W15" s="389">
        <f t="shared" si="0"/>
        <v>0.20236965103749999</v>
      </c>
      <c r="X15" s="390">
        <f>'5. Automatik (AEC)'!L81</f>
        <v>0.58499999999999996</v>
      </c>
      <c r="Z15" s="364">
        <v>60</v>
      </c>
      <c r="AA15" s="406">
        <f t="shared" si="1"/>
        <v>0.20236965103749999</v>
      </c>
      <c r="AB15" s="403">
        <f>'5. Automatik (AEC)'!K97</f>
        <v>0.58499999999999996</v>
      </c>
    </row>
    <row r="16" spans="1:28" x14ac:dyDescent="0.25">
      <c r="A16" s="357">
        <v>70</v>
      </c>
      <c r="B16" s="375">
        <v>90</v>
      </c>
      <c r="C16" s="375">
        <v>4</v>
      </c>
      <c r="D16" s="376">
        <v>8.5999999999999993E-2</v>
      </c>
      <c r="E16" s="377">
        <v>9.8000000000000004E-2</v>
      </c>
      <c r="F16" s="377">
        <v>0.111</v>
      </c>
      <c r="G16" s="377">
        <v>0.123</v>
      </c>
      <c r="H16" s="377">
        <v>0.13600000000000001</v>
      </c>
      <c r="I16" s="377">
        <v>0.154</v>
      </c>
      <c r="J16" s="377">
        <v>0.17199999999999999</v>
      </c>
      <c r="K16" s="377">
        <v>0.188</v>
      </c>
      <c r="L16" s="377">
        <v>0.20200000000000001</v>
      </c>
      <c r="M16" s="377">
        <v>0.214</v>
      </c>
      <c r="N16" s="378">
        <v>0.22700000000000001</v>
      </c>
      <c r="O16" s="348"/>
      <c r="P16" s="364">
        <v>70</v>
      </c>
      <c r="Q16" s="66">
        <v>-0.72570000000000001</v>
      </c>
      <c r="R16" s="66">
        <v>1.2329000000000001</v>
      </c>
      <c r="S16" s="66">
        <v>-0.37290000000000001</v>
      </c>
      <c r="T16" s="365">
        <v>0.1076</v>
      </c>
      <c r="V16" s="364">
        <v>70</v>
      </c>
      <c r="W16" s="389">
        <f t="shared" si="0"/>
        <v>0.16998368735390001</v>
      </c>
      <c r="X16" s="390">
        <f>'5. Automatik (AEC)'!L82</f>
        <v>0.59699999999999998</v>
      </c>
      <c r="Z16" s="364">
        <v>70</v>
      </c>
      <c r="AA16" s="406">
        <f t="shared" si="1"/>
        <v>0.16998368735390001</v>
      </c>
      <c r="AB16" s="403">
        <f>'5. Automatik (AEC)'!K98</f>
        <v>0.59699999999999998</v>
      </c>
    </row>
    <row r="17" spans="1:28" x14ac:dyDescent="0.25">
      <c r="A17" s="359">
        <v>80</v>
      </c>
      <c r="B17" s="379">
        <v>103</v>
      </c>
      <c r="C17" s="379">
        <v>3</v>
      </c>
      <c r="D17" s="380">
        <v>7.3999999999999996E-2</v>
      </c>
      <c r="E17" s="381">
        <v>8.5000000000000006E-2</v>
      </c>
      <c r="F17" s="381">
        <v>9.6000000000000002E-2</v>
      </c>
      <c r="G17" s="381">
        <v>0.106</v>
      </c>
      <c r="H17" s="381">
        <v>0.11700000000000001</v>
      </c>
      <c r="I17" s="381">
        <v>0.13300000000000001</v>
      </c>
      <c r="J17" s="381">
        <v>0.14899999999999999</v>
      </c>
      <c r="K17" s="381">
        <v>0.16300000000000001</v>
      </c>
      <c r="L17" s="381">
        <v>0.17599999999999999</v>
      </c>
      <c r="M17" s="381">
        <v>0.187</v>
      </c>
      <c r="N17" s="382">
        <v>0.19900000000000001</v>
      </c>
      <c r="O17" s="348"/>
      <c r="P17" s="366">
        <v>80</v>
      </c>
      <c r="Q17" s="68">
        <v>-0.59209999999999996</v>
      </c>
      <c r="R17" s="68">
        <v>1.0315000000000001</v>
      </c>
      <c r="S17" s="68">
        <v>-0.313</v>
      </c>
      <c r="T17" s="367">
        <v>9.2299999999999993E-2</v>
      </c>
      <c r="V17" s="366">
        <v>80</v>
      </c>
      <c r="W17" s="69">
        <f t="shared" si="0"/>
        <v>9.2299999999999993E-2</v>
      </c>
      <c r="X17" s="391">
        <f>'5. Automatik (AEC)'!L83</f>
        <v>0</v>
      </c>
      <c r="Z17" s="366">
        <v>80</v>
      </c>
      <c r="AA17" s="407">
        <f t="shared" si="1"/>
        <v>9.2299999999999993E-2</v>
      </c>
      <c r="AB17" s="404">
        <f>'5. Automatik (AEC)'!K99</f>
        <v>0</v>
      </c>
    </row>
    <row r="18" spans="1:28" x14ac:dyDescent="0.25">
      <c r="C18" s="348"/>
      <c r="D18" s="348"/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8"/>
    </row>
    <row r="19" spans="1:28" x14ac:dyDescent="0.25">
      <c r="C19" s="348"/>
      <c r="D19" s="348"/>
      <c r="E19" s="348"/>
      <c r="F19" s="348"/>
      <c r="G19" s="348"/>
      <c r="H19" s="348"/>
      <c r="I19" s="348"/>
      <c r="J19" s="348"/>
      <c r="K19" s="348"/>
      <c r="L19" s="348"/>
      <c r="M19" s="348"/>
      <c r="N19" s="348"/>
      <c r="O19" s="348"/>
      <c r="P19" s="348"/>
      <c r="Q19" s="348"/>
    </row>
    <row r="20" spans="1:28" x14ac:dyDescent="0.25">
      <c r="C20" s="348"/>
      <c r="D20" s="348"/>
      <c r="E20" s="348"/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  <c r="Q20" s="348"/>
    </row>
    <row r="21" spans="1:28" x14ac:dyDescent="0.25">
      <c r="C21" s="348"/>
      <c r="D21" s="348"/>
      <c r="E21" s="348"/>
      <c r="F21" s="348"/>
      <c r="G21" s="348"/>
      <c r="H21" s="348"/>
      <c r="I21" s="348"/>
      <c r="J21" s="348"/>
      <c r="K21" s="348"/>
      <c r="L21" s="348"/>
      <c r="M21" s="348"/>
      <c r="N21" s="348"/>
      <c r="O21" s="348"/>
      <c r="P21" s="348"/>
      <c r="Q21" s="348"/>
    </row>
    <row r="22" spans="1:28" x14ac:dyDescent="0.25"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8"/>
    </row>
    <row r="23" spans="1:28" x14ac:dyDescent="0.25"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</row>
    <row r="24" spans="1:28" x14ac:dyDescent="0.25"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348"/>
      <c r="O24" s="348"/>
      <c r="P24" s="348"/>
      <c r="Q24" s="348"/>
    </row>
    <row r="25" spans="1:28" x14ac:dyDescent="0.25"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</row>
    <row r="26" spans="1:28" x14ac:dyDescent="0.25"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  <c r="Q26" s="348"/>
    </row>
    <row r="27" spans="1:28" x14ac:dyDescent="0.25"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</row>
    <row r="28" spans="1:28" x14ac:dyDescent="0.25"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  <c r="Q28" s="348"/>
    </row>
    <row r="29" spans="1:28" x14ac:dyDescent="0.25"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</row>
    <row r="30" spans="1:28" x14ac:dyDescent="0.25"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8"/>
    </row>
    <row r="31" spans="1:28" x14ac:dyDescent="0.25"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  <c r="N31" s="348"/>
      <c r="O31" s="348"/>
      <c r="P31" s="348"/>
      <c r="Q31" s="348"/>
    </row>
    <row r="32" spans="1:28" x14ac:dyDescent="0.25">
      <c r="C32" s="348"/>
      <c r="D32" s="348"/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  <c r="P32" s="348"/>
      <c r="Q32" s="348"/>
    </row>
    <row r="33" spans="1:44" x14ac:dyDescent="0.25">
      <c r="C33" s="348"/>
      <c r="D33" s="348"/>
      <c r="E33" s="348"/>
      <c r="F33" s="348"/>
      <c r="G33" s="348"/>
      <c r="H33" s="348"/>
      <c r="I33" s="348"/>
      <c r="J33" s="348"/>
      <c r="K33" s="348"/>
      <c r="L33" s="348"/>
      <c r="M33" s="348"/>
      <c r="N33" s="348"/>
      <c r="O33" s="348"/>
      <c r="P33" s="348"/>
      <c r="Q33" s="348"/>
    </row>
    <row r="34" spans="1:44" x14ac:dyDescent="0.25">
      <c r="C34" s="348"/>
      <c r="D34" s="348"/>
      <c r="E34" s="348"/>
      <c r="F34" s="348"/>
      <c r="G34" s="348"/>
      <c r="H34" s="348"/>
      <c r="I34" s="348"/>
      <c r="J34" s="348"/>
      <c r="K34" s="348"/>
      <c r="L34" s="348"/>
      <c r="M34" s="348"/>
      <c r="N34" s="348"/>
      <c r="O34" s="348"/>
      <c r="P34" s="348"/>
      <c r="Q34" s="348"/>
    </row>
    <row r="38" spans="1:44" x14ac:dyDescent="0.25">
      <c r="A38" s="63" t="s">
        <v>91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</row>
    <row r="39" spans="1:44" x14ac:dyDescent="0.25"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</row>
    <row r="40" spans="1:44" x14ac:dyDescent="0.25">
      <c r="C40" s="348"/>
      <c r="D40" s="348"/>
      <c r="E40" s="348"/>
      <c r="F40" s="348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</row>
    <row r="41" spans="1:44" x14ac:dyDescent="0.25">
      <c r="A41" s="349"/>
      <c r="B41" s="350"/>
      <c r="C41" s="472"/>
      <c r="D41" s="804" t="s">
        <v>169</v>
      </c>
      <c r="E41" s="804"/>
      <c r="F41" s="804"/>
      <c r="G41" s="804"/>
      <c r="H41" s="804"/>
      <c r="I41" s="804"/>
      <c r="J41" s="804"/>
      <c r="K41" s="804"/>
      <c r="L41" s="804"/>
      <c r="M41" s="804"/>
      <c r="N41" s="805"/>
      <c r="P41" s="812" t="s">
        <v>218</v>
      </c>
      <c r="Q41" s="812"/>
      <c r="R41" s="812"/>
      <c r="S41" s="812"/>
      <c r="T41" s="812"/>
      <c r="V41" s="812" t="s">
        <v>264</v>
      </c>
      <c r="W41" s="812"/>
      <c r="X41" s="812"/>
      <c r="Z41" s="812" t="s">
        <v>265</v>
      </c>
      <c r="AA41" s="812"/>
      <c r="AB41" s="812"/>
      <c r="AD41" s="485"/>
      <c r="AE41" s="485"/>
      <c r="AF41" s="485"/>
      <c r="AG41" s="485"/>
      <c r="AH41" s="485"/>
      <c r="AI41" s="485"/>
      <c r="AJ41" s="485"/>
      <c r="AK41" s="485"/>
      <c r="AL41" s="485"/>
      <c r="AM41" s="485"/>
      <c r="AN41" s="485"/>
      <c r="AO41" s="485"/>
      <c r="AP41" s="485"/>
      <c r="AQ41" s="485"/>
      <c r="AR41" s="81"/>
    </row>
    <row r="42" spans="1:44" x14ac:dyDescent="0.25">
      <c r="A42" s="351" t="s">
        <v>84</v>
      </c>
      <c r="B42" s="352" t="s">
        <v>85</v>
      </c>
      <c r="C42" s="474" t="s">
        <v>166</v>
      </c>
      <c r="D42" s="806" t="s">
        <v>170</v>
      </c>
      <c r="E42" s="807"/>
      <c r="F42" s="807"/>
      <c r="G42" s="807"/>
      <c r="H42" s="807"/>
      <c r="I42" s="807"/>
      <c r="J42" s="807"/>
      <c r="K42" s="807"/>
      <c r="L42" s="807"/>
      <c r="M42" s="807"/>
      <c r="N42" s="808"/>
      <c r="P42" s="361" t="s">
        <v>84</v>
      </c>
      <c r="Q42" s="383"/>
      <c r="R42" s="383"/>
      <c r="S42" s="383"/>
      <c r="T42" s="384"/>
      <c r="V42" s="393" t="s">
        <v>84</v>
      </c>
      <c r="W42" s="383"/>
      <c r="X42" s="384"/>
      <c r="Z42" s="393" t="s">
        <v>84</v>
      </c>
      <c r="AA42" s="383"/>
      <c r="AB42" s="384"/>
      <c r="AD42" s="486"/>
      <c r="AE42" s="486"/>
      <c r="AF42" s="486"/>
      <c r="AG42" s="486"/>
      <c r="AH42" s="486"/>
      <c r="AI42" s="486"/>
      <c r="AJ42" s="486"/>
      <c r="AK42" s="486"/>
      <c r="AL42" s="486"/>
      <c r="AM42" s="486"/>
      <c r="AN42" s="486"/>
      <c r="AO42" s="486"/>
      <c r="AP42" s="486"/>
      <c r="AQ42" s="486"/>
      <c r="AR42" s="81"/>
    </row>
    <row r="43" spans="1:44" x14ac:dyDescent="0.25">
      <c r="A43" s="353" t="s">
        <v>51</v>
      </c>
      <c r="B43" s="354" t="s">
        <v>92</v>
      </c>
      <c r="C43" s="476" t="s">
        <v>168</v>
      </c>
      <c r="D43" s="809" t="s">
        <v>86</v>
      </c>
      <c r="E43" s="810"/>
      <c r="F43" s="810"/>
      <c r="G43" s="810"/>
      <c r="H43" s="810"/>
      <c r="I43" s="810"/>
      <c r="J43" s="810"/>
      <c r="K43" s="810"/>
      <c r="L43" s="810"/>
      <c r="M43" s="810"/>
      <c r="N43" s="811"/>
      <c r="P43" s="364" t="s">
        <v>114</v>
      </c>
      <c r="Q43" s="385"/>
      <c r="R43" s="385"/>
      <c r="S43" s="385"/>
      <c r="T43" s="386"/>
      <c r="V43" s="394" t="s">
        <v>51</v>
      </c>
      <c r="W43" s="385"/>
      <c r="X43" s="365" t="s">
        <v>11</v>
      </c>
      <c r="Z43" s="394" t="s">
        <v>51</v>
      </c>
      <c r="AA43" s="385"/>
      <c r="AB43" s="365" t="s">
        <v>11</v>
      </c>
      <c r="AD43" s="486"/>
      <c r="AE43" s="486"/>
      <c r="AF43" s="486"/>
      <c r="AG43" s="486"/>
      <c r="AH43" s="486"/>
      <c r="AI43" s="486"/>
      <c r="AJ43" s="486"/>
      <c r="AK43" s="486"/>
      <c r="AL43" s="486"/>
      <c r="AM43" s="486"/>
      <c r="AN43" s="486"/>
      <c r="AO43" s="486"/>
      <c r="AP43" s="486"/>
      <c r="AQ43" s="486"/>
      <c r="AR43" s="81"/>
    </row>
    <row r="44" spans="1:44" x14ac:dyDescent="0.25">
      <c r="A44" s="353" t="s">
        <v>83</v>
      </c>
      <c r="B44" s="354" t="s">
        <v>83</v>
      </c>
      <c r="C44" s="476" t="s">
        <v>4</v>
      </c>
      <c r="D44" s="368">
        <v>0.3</v>
      </c>
      <c r="E44" s="369">
        <v>0.35</v>
      </c>
      <c r="F44" s="369">
        <v>0.4</v>
      </c>
      <c r="G44" s="369">
        <v>0.45</v>
      </c>
      <c r="H44" s="369">
        <v>0.5</v>
      </c>
      <c r="I44" s="369">
        <v>0.55000000000000004</v>
      </c>
      <c r="J44" s="369">
        <v>0.6</v>
      </c>
      <c r="K44" s="369">
        <v>0.65</v>
      </c>
      <c r="L44" s="369">
        <v>0.7</v>
      </c>
      <c r="M44" s="369">
        <v>0.75</v>
      </c>
      <c r="N44" s="370">
        <v>0.8</v>
      </c>
      <c r="P44" s="387" t="s">
        <v>83</v>
      </c>
      <c r="Q44" s="67" t="s">
        <v>87</v>
      </c>
      <c r="R44" s="67" t="s">
        <v>88</v>
      </c>
      <c r="S44" s="67" t="s">
        <v>55</v>
      </c>
      <c r="T44" s="388" t="s">
        <v>89</v>
      </c>
      <c r="V44" s="387" t="s">
        <v>83</v>
      </c>
      <c r="W44" s="67" t="s">
        <v>55</v>
      </c>
      <c r="X44" s="367" t="s">
        <v>12</v>
      </c>
      <c r="Z44" s="387" t="s">
        <v>83</v>
      </c>
      <c r="AA44" s="67" t="s">
        <v>55</v>
      </c>
      <c r="AB44" s="367" t="s">
        <v>12</v>
      </c>
      <c r="AD44" s="486"/>
      <c r="AE44" s="486"/>
      <c r="AF44" s="486"/>
      <c r="AG44" s="487"/>
      <c r="AH44" s="487"/>
      <c r="AI44" s="487"/>
      <c r="AJ44" s="487"/>
      <c r="AK44" s="487"/>
      <c r="AL44" s="487"/>
      <c r="AM44" s="487"/>
      <c r="AN44" s="487"/>
      <c r="AO44" s="487"/>
      <c r="AP44" s="487"/>
      <c r="AQ44" s="487"/>
      <c r="AR44" s="81"/>
    </row>
    <row r="45" spans="1:44" x14ac:dyDescent="0.25">
      <c r="A45" s="355">
        <v>20</v>
      </c>
      <c r="B45" s="356">
        <v>21</v>
      </c>
      <c r="C45" s="371">
        <v>97</v>
      </c>
      <c r="D45" s="372">
        <v>0.88900000000000001</v>
      </c>
      <c r="E45" s="373">
        <v>0.89500000000000002</v>
      </c>
      <c r="F45" s="373">
        <v>0.90300000000000002</v>
      </c>
      <c r="G45" s="373">
        <v>0.90800000000000003</v>
      </c>
      <c r="H45" s="373">
        <v>0.91200000000000003</v>
      </c>
      <c r="I45" s="373">
        <v>0.91700000000000004</v>
      </c>
      <c r="J45" s="373">
        <v>0.92100000000000004</v>
      </c>
      <c r="K45" s="373">
        <v>0.92400000000000004</v>
      </c>
      <c r="L45" s="373">
        <v>0.92800000000000005</v>
      </c>
      <c r="M45" s="373">
        <v>0.93300000000000005</v>
      </c>
      <c r="N45" s="374">
        <v>0.93700000000000006</v>
      </c>
      <c r="P45" s="361">
        <v>20</v>
      </c>
      <c r="Q45" s="362">
        <v>0.2611</v>
      </c>
      <c r="R45" s="362">
        <v>-0.49230000000000002</v>
      </c>
      <c r="S45" s="362">
        <v>0.38540000000000002</v>
      </c>
      <c r="T45" s="363">
        <v>0.81030000000000002</v>
      </c>
      <c r="V45" s="361">
        <v>20</v>
      </c>
      <c r="W45" s="395">
        <f>Q45*X45^3+R45*X45^2+S45*X45+T45</f>
        <v>0.91605722762310005</v>
      </c>
      <c r="X45" s="402">
        <f>'5. Automatik (AEC)'!L76</f>
        <v>0.54100000000000004</v>
      </c>
      <c r="Z45" s="361">
        <v>20</v>
      </c>
      <c r="AA45" s="397">
        <f>Q45*AB45^3+R45*AB45^2+S45*AB45+T45</f>
        <v>0.91605722762310005</v>
      </c>
      <c r="AB45" s="520">
        <f>'5. Automatik (AEC)'!K92</f>
        <v>0.54100000000000004</v>
      </c>
      <c r="AD45" s="488"/>
      <c r="AE45" s="488"/>
      <c r="AF45" s="488"/>
      <c r="AG45" s="392"/>
      <c r="AH45" s="392"/>
      <c r="AI45" s="392"/>
      <c r="AJ45" s="392"/>
      <c r="AK45" s="392"/>
      <c r="AL45" s="392"/>
      <c r="AM45" s="392"/>
      <c r="AN45" s="392"/>
      <c r="AO45" s="392"/>
      <c r="AP45" s="392"/>
      <c r="AQ45" s="392"/>
      <c r="AR45" s="81"/>
    </row>
    <row r="46" spans="1:44" x14ac:dyDescent="0.25">
      <c r="A46" s="357">
        <v>30</v>
      </c>
      <c r="B46" s="358">
        <v>32</v>
      </c>
      <c r="C46" s="375">
        <v>67</v>
      </c>
      <c r="D46" s="376">
        <v>0.94</v>
      </c>
      <c r="E46" s="377">
        <v>0.94299999999999995</v>
      </c>
      <c r="F46" s="377">
        <v>0.94499999999999995</v>
      </c>
      <c r="G46" s="377">
        <v>0.94599999999999995</v>
      </c>
      <c r="H46" s="377">
        <v>0.94899999999999995</v>
      </c>
      <c r="I46" s="377">
        <v>0.95199999999999996</v>
      </c>
      <c r="J46" s="377">
        <v>0.95299999999999996</v>
      </c>
      <c r="K46" s="377">
        <v>0.95599999999999996</v>
      </c>
      <c r="L46" s="377">
        <v>0.95899999999999996</v>
      </c>
      <c r="M46" s="377">
        <v>0.96099999999999997</v>
      </c>
      <c r="N46" s="378">
        <v>0.96399999999999997</v>
      </c>
      <c r="P46" s="364">
        <v>30</v>
      </c>
      <c r="Q46" s="66">
        <v>2.8000000000000001E-2</v>
      </c>
      <c r="R46" s="66">
        <v>-3.2199999999999999E-2</v>
      </c>
      <c r="S46" s="66">
        <v>5.57E-2</v>
      </c>
      <c r="T46" s="365">
        <v>0.92569999999999997</v>
      </c>
      <c r="V46" s="364">
        <v>30</v>
      </c>
      <c r="W46" s="389">
        <f>Q46*X46^3+R46*X46^2+S46*X46+T46</f>
        <v>0.951344436224</v>
      </c>
      <c r="X46" s="403">
        <f>'5. Automatik (AEC)'!L77</f>
        <v>0.55200000000000005</v>
      </c>
      <c r="Z46" s="364">
        <v>30</v>
      </c>
      <c r="AA46" s="406">
        <f t="shared" ref="AA46:AA52" si="2">Q46*AB46^3+R46*AB46^2+S46*AB46+T46</f>
        <v>0.951344436224</v>
      </c>
      <c r="AB46" s="405">
        <f>'5. Automatik (AEC)'!K93</f>
        <v>0.55200000000000005</v>
      </c>
      <c r="AD46" s="488"/>
      <c r="AE46" s="488"/>
      <c r="AF46" s="488"/>
      <c r="AG46" s="392"/>
      <c r="AH46" s="392"/>
      <c r="AI46" s="392"/>
      <c r="AJ46" s="392"/>
      <c r="AK46" s="392"/>
      <c r="AL46" s="392"/>
      <c r="AM46" s="392"/>
      <c r="AN46" s="392"/>
      <c r="AO46" s="392"/>
      <c r="AP46" s="392"/>
      <c r="AQ46" s="392"/>
      <c r="AR46" s="81"/>
    </row>
    <row r="47" spans="1:44" x14ac:dyDescent="0.25">
      <c r="A47" s="357">
        <v>40</v>
      </c>
      <c r="B47" s="358">
        <v>45</v>
      </c>
      <c r="C47" s="375">
        <v>41</v>
      </c>
      <c r="D47" s="376">
        <v>1.0429999999999999</v>
      </c>
      <c r="E47" s="377">
        <v>1.0409999999999999</v>
      </c>
      <c r="F47" s="377">
        <v>1.04</v>
      </c>
      <c r="G47" s="377">
        <v>1.0389999999999999</v>
      </c>
      <c r="H47" s="377">
        <v>1.0369999999999999</v>
      </c>
      <c r="I47" s="377">
        <v>1.0349999999999999</v>
      </c>
      <c r="J47" s="377">
        <v>1.034</v>
      </c>
      <c r="K47" s="377">
        <v>1.032</v>
      </c>
      <c r="L47" s="377">
        <v>1.03</v>
      </c>
      <c r="M47" s="377">
        <v>1.028</v>
      </c>
      <c r="N47" s="378">
        <v>1.026</v>
      </c>
      <c r="P47" s="364">
        <v>40</v>
      </c>
      <c r="Q47" s="66">
        <v>-1.4E-2</v>
      </c>
      <c r="R47" s="66">
        <v>6.3E-3</v>
      </c>
      <c r="S47" s="66">
        <v>-2.7099999999999999E-2</v>
      </c>
      <c r="T47" s="365">
        <v>1.0507</v>
      </c>
      <c r="V47" s="364">
        <v>40</v>
      </c>
      <c r="W47" s="389">
        <f>Q47*X47^3+R47*X47^2+S47*X47+T47</f>
        <v>1.0348745477499999</v>
      </c>
      <c r="X47" s="405">
        <f>'5. Automatik (AEC)'!L78</f>
        <v>0.56499999999999995</v>
      </c>
      <c r="Z47" s="364">
        <v>40</v>
      </c>
      <c r="AA47" s="406">
        <f t="shared" si="2"/>
        <v>1.0348745477499999</v>
      </c>
      <c r="AB47" s="405">
        <f>'5. Automatik (AEC)'!K94</f>
        <v>0.56499999999999995</v>
      </c>
      <c r="AD47" s="488"/>
      <c r="AE47" s="488"/>
      <c r="AF47" s="488"/>
      <c r="AG47" s="392"/>
      <c r="AH47" s="392"/>
      <c r="AI47" s="392"/>
      <c r="AJ47" s="392"/>
      <c r="AK47" s="392"/>
      <c r="AL47" s="392"/>
      <c r="AM47" s="392"/>
      <c r="AN47" s="392"/>
      <c r="AO47" s="392"/>
      <c r="AP47" s="392"/>
      <c r="AQ47" s="392"/>
      <c r="AR47" s="81"/>
    </row>
    <row r="48" spans="1:44" x14ac:dyDescent="0.25">
      <c r="A48" s="357">
        <v>45</v>
      </c>
      <c r="B48" s="358">
        <v>53</v>
      </c>
      <c r="C48" s="375">
        <v>29</v>
      </c>
      <c r="D48" s="376">
        <v>1.109</v>
      </c>
      <c r="E48" s="377">
        <v>1.105</v>
      </c>
      <c r="F48" s="377">
        <v>1.1020000000000001</v>
      </c>
      <c r="G48" s="377">
        <v>1.099</v>
      </c>
      <c r="H48" s="377">
        <v>1.0960000000000001</v>
      </c>
      <c r="I48" s="392">
        <v>1.091</v>
      </c>
      <c r="J48" s="377">
        <v>1.0880000000000001</v>
      </c>
      <c r="K48" s="377">
        <v>1.0820000000000001</v>
      </c>
      <c r="L48" s="377">
        <v>1.0780000000000001</v>
      </c>
      <c r="M48" s="377">
        <v>1.073</v>
      </c>
      <c r="N48" s="378">
        <v>1.0680000000000001</v>
      </c>
      <c r="P48" s="364">
        <v>45</v>
      </c>
      <c r="Q48" s="66">
        <v>-1.09E-2</v>
      </c>
      <c r="R48" s="66">
        <v>-3.2899999999999999E-2</v>
      </c>
      <c r="S48" s="66">
        <v>-3.4799999999999998E-2</v>
      </c>
      <c r="T48" s="365">
        <v>1.1222000000000001</v>
      </c>
      <c r="V48" s="364">
        <v>45</v>
      </c>
      <c r="W48" s="389">
        <f t="shared" ref="W48:W52" si="3">Q48*X48^3+R48*X48^2+S48*X48+T48</f>
        <v>1.0895732045201001</v>
      </c>
      <c r="X48" s="403">
        <f>'5. Automatik (AEC)'!L79</f>
        <v>0.57099999999999995</v>
      </c>
      <c r="Z48" s="364">
        <v>45</v>
      </c>
      <c r="AA48" s="406">
        <f t="shared" si="2"/>
        <v>1.0895732045201001</v>
      </c>
      <c r="AB48" s="405">
        <f>'5. Automatik (AEC)'!K95</f>
        <v>0.57099999999999995</v>
      </c>
      <c r="AD48" s="488"/>
      <c r="AE48" s="488"/>
      <c r="AF48" s="488"/>
      <c r="AG48" s="392"/>
      <c r="AH48" s="392"/>
      <c r="AI48" s="392"/>
      <c r="AJ48" s="392"/>
      <c r="AK48" s="392"/>
      <c r="AL48" s="392"/>
      <c r="AM48" s="392"/>
      <c r="AN48" s="392"/>
      <c r="AO48" s="392"/>
      <c r="AP48" s="392"/>
      <c r="AQ48" s="392"/>
      <c r="AR48" s="81"/>
    </row>
    <row r="49" spans="1:44" x14ac:dyDescent="0.25">
      <c r="A49" s="357">
        <v>50</v>
      </c>
      <c r="B49" s="358">
        <v>60</v>
      </c>
      <c r="C49" s="375">
        <v>20</v>
      </c>
      <c r="D49" s="376">
        <v>1.1639999999999999</v>
      </c>
      <c r="E49" s="377">
        <v>1.1599999999999999</v>
      </c>
      <c r="F49" s="377">
        <v>1.151</v>
      </c>
      <c r="G49" s="377">
        <v>1.1499999999999999</v>
      </c>
      <c r="H49" s="377">
        <v>1.1439999999999999</v>
      </c>
      <c r="I49" s="377">
        <v>1.139</v>
      </c>
      <c r="J49" s="377">
        <v>1.1339999999999999</v>
      </c>
      <c r="K49" s="377">
        <v>1.1240000000000001</v>
      </c>
      <c r="L49" s="377">
        <v>1.117</v>
      </c>
      <c r="M49" s="377">
        <v>1.111</v>
      </c>
      <c r="N49" s="378">
        <v>1.103</v>
      </c>
      <c r="P49" s="364">
        <v>50</v>
      </c>
      <c r="Q49" s="66">
        <v>-7.7700000000000005E-2</v>
      </c>
      <c r="R49" s="66">
        <v>4.7600000000000003E-2</v>
      </c>
      <c r="S49" s="66">
        <v>-9.9199999999999997E-2</v>
      </c>
      <c r="T49" s="365">
        <v>1.1912</v>
      </c>
      <c r="V49" s="364">
        <v>50</v>
      </c>
      <c r="W49" s="389">
        <f t="shared" si="3"/>
        <v>1.1343939510843</v>
      </c>
      <c r="X49" s="403">
        <f>'5. Automatik (AEC)'!L80</f>
        <v>0.58099999999999996</v>
      </c>
      <c r="Z49" s="364">
        <v>50</v>
      </c>
      <c r="AA49" s="406">
        <f t="shared" si="2"/>
        <v>1.1343939510843</v>
      </c>
      <c r="AB49" s="405">
        <f>'5. Automatik (AEC)'!K96</f>
        <v>0.58099999999999996</v>
      </c>
      <c r="AD49" s="488"/>
      <c r="AE49" s="488"/>
      <c r="AF49" s="488"/>
      <c r="AG49" s="392"/>
      <c r="AH49" s="392"/>
      <c r="AI49" s="392"/>
      <c r="AJ49" s="392"/>
      <c r="AK49" s="392"/>
      <c r="AL49" s="392"/>
      <c r="AM49" s="392"/>
      <c r="AN49" s="392"/>
      <c r="AO49" s="392"/>
      <c r="AP49" s="392"/>
      <c r="AQ49" s="392"/>
      <c r="AR49" s="81"/>
    </row>
    <row r="50" spans="1:44" x14ac:dyDescent="0.25">
      <c r="A50" s="357">
        <v>60</v>
      </c>
      <c r="B50" s="358">
        <v>75</v>
      </c>
      <c r="C50" s="375">
        <v>9</v>
      </c>
      <c r="D50" s="376">
        <v>1.254</v>
      </c>
      <c r="E50" s="377">
        <v>1.2450000000000001</v>
      </c>
      <c r="F50" s="377">
        <v>1.2350000000000001</v>
      </c>
      <c r="G50" s="377">
        <v>1.2310000000000001</v>
      </c>
      <c r="H50" s="377">
        <v>1.2250000000000001</v>
      </c>
      <c r="I50" s="377">
        <v>1.2170000000000001</v>
      </c>
      <c r="J50" s="377">
        <v>1.2070000000000001</v>
      </c>
      <c r="K50" s="377">
        <v>1.196</v>
      </c>
      <c r="L50" s="377">
        <v>1.1859999999999999</v>
      </c>
      <c r="M50" s="377">
        <v>1.175</v>
      </c>
      <c r="N50" s="378">
        <v>1.1639999999999999</v>
      </c>
      <c r="P50" s="364">
        <v>60</v>
      </c>
      <c r="Q50" s="66">
        <v>-0.2253</v>
      </c>
      <c r="R50" s="66">
        <v>0.25480000000000003</v>
      </c>
      <c r="S50" s="66">
        <v>-0.2412</v>
      </c>
      <c r="T50" s="365">
        <v>1.3083</v>
      </c>
      <c r="V50" s="364">
        <v>60</v>
      </c>
      <c r="W50" s="389">
        <f t="shared" si="3"/>
        <v>1.2092915038875001</v>
      </c>
      <c r="X50" s="403">
        <f>'5. Automatik (AEC)'!L81</f>
        <v>0.58499999999999996</v>
      </c>
      <c r="Z50" s="364">
        <v>60</v>
      </c>
      <c r="AA50" s="406">
        <f t="shared" si="2"/>
        <v>1.2092915038875001</v>
      </c>
      <c r="AB50" s="405">
        <f>'5. Automatik (AEC)'!K97</f>
        <v>0.58499999999999996</v>
      </c>
      <c r="AD50" s="488"/>
      <c r="AE50" s="488"/>
      <c r="AF50" s="488"/>
      <c r="AG50" s="392"/>
      <c r="AH50" s="392"/>
      <c r="AI50" s="392"/>
      <c r="AJ50" s="392"/>
      <c r="AK50" s="392"/>
      <c r="AL50" s="392"/>
      <c r="AM50" s="392"/>
      <c r="AN50" s="392"/>
      <c r="AO50" s="392"/>
      <c r="AP50" s="392"/>
      <c r="AQ50" s="392"/>
      <c r="AR50" s="81"/>
    </row>
    <row r="51" spans="1:44" x14ac:dyDescent="0.25">
      <c r="A51" s="357">
        <v>70</v>
      </c>
      <c r="B51" s="358">
        <v>90</v>
      </c>
      <c r="C51" s="375">
        <v>4</v>
      </c>
      <c r="D51" s="376">
        <v>1.2989999999999999</v>
      </c>
      <c r="E51" s="377">
        <v>1.292</v>
      </c>
      <c r="F51" s="377">
        <v>1.282</v>
      </c>
      <c r="G51" s="377">
        <v>1.2749999999999999</v>
      </c>
      <c r="H51" s="377">
        <v>1.27</v>
      </c>
      <c r="I51" s="377">
        <v>1.26</v>
      </c>
      <c r="J51" s="377">
        <v>1.2490000000000001</v>
      </c>
      <c r="K51" s="377">
        <v>1.236</v>
      </c>
      <c r="L51" s="377">
        <v>1.2250000000000001</v>
      </c>
      <c r="M51" s="377">
        <v>1.2130000000000001</v>
      </c>
      <c r="N51" s="378">
        <v>1.2</v>
      </c>
      <c r="P51" s="364">
        <v>70</v>
      </c>
      <c r="Q51" s="66">
        <v>-7.9299999999999995E-2</v>
      </c>
      <c r="R51" s="66">
        <v>-2.2599999999999999E-2</v>
      </c>
      <c r="S51" s="66">
        <v>-9.6199999999999994E-2</v>
      </c>
      <c r="T51" s="365">
        <v>1.3313999999999999</v>
      </c>
      <c r="V51" s="364">
        <v>70</v>
      </c>
      <c r="W51" s="389">
        <f>Q51*X51^3+R51*X51^2+S51*X51+T51</f>
        <v>1.2490406060810999</v>
      </c>
      <c r="X51" s="403">
        <f>'5. Automatik (AEC)'!L82</f>
        <v>0.59699999999999998</v>
      </c>
      <c r="Z51" s="364">
        <v>70</v>
      </c>
      <c r="AA51" s="406">
        <f t="shared" si="2"/>
        <v>1.2490406060810999</v>
      </c>
      <c r="AB51" s="405">
        <f>'5. Automatik (AEC)'!K98</f>
        <v>0.59699999999999998</v>
      </c>
      <c r="AD51" s="488"/>
      <c r="AE51" s="488"/>
      <c r="AF51" s="488"/>
      <c r="AG51" s="392"/>
      <c r="AH51" s="392"/>
      <c r="AI51" s="392"/>
      <c r="AJ51" s="392"/>
      <c r="AK51" s="392"/>
      <c r="AL51" s="392"/>
      <c r="AM51" s="392"/>
      <c r="AN51" s="392"/>
      <c r="AO51" s="392"/>
      <c r="AP51" s="392"/>
      <c r="AQ51" s="392"/>
      <c r="AR51" s="81"/>
    </row>
    <row r="52" spans="1:44" x14ac:dyDescent="0.25">
      <c r="A52" s="359">
        <v>80</v>
      </c>
      <c r="B52" s="360">
        <v>103</v>
      </c>
      <c r="C52" s="379">
        <v>3</v>
      </c>
      <c r="D52" s="380">
        <v>1.3069999999999999</v>
      </c>
      <c r="E52" s="381">
        <v>1.2989999999999999</v>
      </c>
      <c r="F52" s="381">
        <v>1.292</v>
      </c>
      <c r="G52" s="381">
        <v>1.2869999999999999</v>
      </c>
      <c r="H52" s="381">
        <v>1.2829999999999999</v>
      </c>
      <c r="I52" s="381">
        <v>1.2729999999999999</v>
      </c>
      <c r="J52" s="381">
        <v>1.262</v>
      </c>
      <c r="K52" s="381">
        <v>1.2490000000000001</v>
      </c>
      <c r="L52" s="381">
        <v>1.238</v>
      </c>
      <c r="M52" s="381">
        <v>1.226</v>
      </c>
      <c r="N52" s="382">
        <v>1.2130000000000001</v>
      </c>
      <c r="P52" s="366">
        <v>80</v>
      </c>
      <c r="Q52" s="68">
        <v>-4.0399999999999998E-2</v>
      </c>
      <c r="R52" s="68">
        <v>-0.1343</v>
      </c>
      <c r="S52" s="68">
        <v>5.0000000000000001E-4</v>
      </c>
      <c r="T52" s="367">
        <v>1.3183</v>
      </c>
      <c r="V52" s="366">
        <v>80</v>
      </c>
      <c r="W52" s="69">
        <f t="shared" si="3"/>
        <v>1.3183</v>
      </c>
      <c r="X52" s="404">
        <f>'5. Automatik (AEC)'!L83</f>
        <v>0</v>
      </c>
      <c r="Z52" s="366">
        <v>80</v>
      </c>
      <c r="AA52" s="407">
        <f t="shared" si="2"/>
        <v>1.3183</v>
      </c>
      <c r="AB52" s="521">
        <f>'5. Automatik (AEC)'!K99</f>
        <v>0</v>
      </c>
      <c r="AD52" s="488"/>
      <c r="AE52" s="488"/>
      <c r="AF52" s="488"/>
      <c r="AG52" s="392"/>
      <c r="AH52" s="392"/>
      <c r="AI52" s="392"/>
      <c r="AJ52" s="392"/>
      <c r="AK52" s="392"/>
      <c r="AL52" s="392"/>
      <c r="AM52" s="392"/>
      <c r="AN52" s="392"/>
      <c r="AO52" s="392"/>
      <c r="AP52" s="392"/>
      <c r="AQ52" s="392"/>
      <c r="AR52" s="81"/>
    </row>
    <row r="53" spans="1:44" x14ac:dyDescent="0.25">
      <c r="C53" s="348"/>
      <c r="D53" s="348"/>
      <c r="E53" s="348"/>
      <c r="F53" s="348"/>
      <c r="G53" s="348"/>
      <c r="H53" s="348"/>
      <c r="I53" s="348"/>
      <c r="J53" s="348"/>
      <c r="K53" s="348"/>
      <c r="L53" s="348"/>
      <c r="M53" s="348"/>
      <c r="N53" s="348"/>
      <c r="O53" s="348"/>
      <c r="P53" s="348"/>
      <c r="Q53" s="348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</row>
    <row r="54" spans="1:44" x14ac:dyDescent="0.25"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48"/>
      <c r="O54" s="348"/>
      <c r="P54" s="348"/>
      <c r="Q54" s="348"/>
    </row>
    <row r="55" spans="1:44" x14ac:dyDescent="0.25"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48"/>
      <c r="O55" s="348"/>
      <c r="P55" s="348"/>
      <c r="Q55" s="348"/>
    </row>
    <row r="56" spans="1:44" x14ac:dyDescent="0.25">
      <c r="C56" s="348"/>
      <c r="D56" s="348"/>
      <c r="E56" s="348"/>
      <c r="F56" s="348"/>
      <c r="G56" s="348"/>
      <c r="H56" s="348"/>
      <c r="I56" s="348"/>
      <c r="J56" s="348"/>
      <c r="K56" s="348"/>
      <c r="L56" s="348"/>
      <c r="M56" s="348"/>
      <c r="N56" s="348"/>
      <c r="O56" s="348"/>
      <c r="P56" s="348"/>
      <c r="Q56" s="348"/>
    </row>
    <row r="57" spans="1:44" x14ac:dyDescent="0.25"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</row>
    <row r="58" spans="1:44" x14ac:dyDescent="0.25">
      <c r="C58" s="348"/>
      <c r="D58" s="348"/>
      <c r="E58" s="348"/>
      <c r="F58" s="348"/>
      <c r="G58" s="348"/>
      <c r="H58" s="348"/>
      <c r="I58" s="348"/>
      <c r="J58" s="348"/>
      <c r="K58" s="348"/>
      <c r="L58" s="348"/>
      <c r="M58" s="348"/>
      <c r="N58" s="348"/>
      <c r="O58" s="348"/>
      <c r="P58" s="348"/>
      <c r="Q58" s="348"/>
    </row>
    <row r="59" spans="1:44" x14ac:dyDescent="0.25">
      <c r="C59" s="348"/>
      <c r="D59" s="348"/>
      <c r="E59" s="348"/>
      <c r="F59" s="348"/>
      <c r="G59" s="348"/>
      <c r="H59" s="348"/>
      <c r="I59" s="348"/>
      <c r="J59" s="348"/>
      <c r="K59" s="348"/>
      <c r="L59" s="348"/>
      <c r="M59" s="348"/>
      <c r="N59" s="348"/>
      <c r="O59" s="348"/>
      <c r="P59" s="348"/>
      <c r="Q59" s="348"/>
    </row>
    <row r="60" spans="1:44" x14ac:dyDescent="0.25"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</row>
    <row r="61" spans="1:44" x14ac:dyDescent="0.25"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</row>
    <row r="62" spans="1:44" x14ac:dyDescent="0.25"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</row>
    <row r="63" spans="1:44" x14ac:dyDescent="0.25">
      <c r="C63" s="348"/>
      <c r="D63" s="348"/>
      <c r="E63" s="348"/>
      <c r="F63" s="348"/>
      <c r="G63" s="348"/>
      <c r="H63" s="348"/>
      <c r="I63" s="348"/>
      <c r="J63" s="348"/>
      <c r="K63" s="348"/>
      <c r="L63" s="348"/>
      <c r="M63" s="348"/>
      <c r="N63" s="348"/>
      <c r="O63" s="348"/>
      <c r="P63" s="348"/>
      <c r="Q63" s="348"/>
    </row>
    <row r="64" spans="1:44" x14ac:dyDescent="0.25"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</row>
    <row r="65" spans="1:24" x14ac:dyDescent="0.25">
      <c r="C65" s="348"/>
      <c r="D65" s="348"/>
      <c r="E65" s="348"/>
      <c r="F65" s="348"/>
      <c r="G65" s="348"/>
      <c r="H65" s="348"/>
      <c r="I65" s="348"/>
      <c r="J65" s="348"/>
      <c r="K65" s="348"/>
      <c r="L65" s="348"/>
      <c r="M65" s="348"/>
      <c r="N65" s="348"/>
      <c r="O65" s="348"/>
      <c r="P65" s="348"/>
      <c r="Q65" s="348"/>
    </row>
    <row r="66" spans="1:24" x14ac:dyDescent="0.25"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</row>
    <row r="67" spans="1:24" x14ac:dyDescent="0.25">
      <c r="C67" s="348"/>
      <c r="D67" s="348"/>
      <c r="E67" s="348"/>
      <c r="F67" s="348"/>
      <c r="G67" s="348"/>
      <c r="H67" s="348"/>
      <c r="I67" s="348"/>
      <c r="J67" s="348"/>
      <c r="K67" s="348"/>
      <c r="L67" s="348"/>
      <c r="M67" s="348"/>
      <c r="N67" s="348"/>
      <c r="O67" s="348"/>
      <c r="P67" s="348"/>
      <c r="Q67" s="348"/>
    </row>
    <row r="68" spans="1:24" x14ac:dyDescent="0.25">
      <c r="C68" s="348"/>
      <c r="D68" s="348"/>
      <c r="E68" s="348"/>
      <c r="F68" s="348"/>
      <c r="G68" s="348"/>
      <c r="H68" s="348"/>
      <c r="I68" s="348"/>
      <c r="J68" s="348"/>
      <c r="K68" s="348"/>
      <c r="L68" s="348"/>
      <c r="M68" s="348"/>
      <c r="N68" s="348"/>
      <c r="O68" s="348"/>
      <c r="P68" s="348"/>
      <c r="Q68" s="348"/>
    </row>
    <row r="69" spans="1:24" x14ac:dyDescent="0.25">
      <c r="C69" s="348"/>
      <c r="D69" s="348"/>
      <c r="E69" s="348"/>
      <c r="F69" s="348"/>
      <c r="G69" s="348"/>
      <c r="H69" s="348"/>
      <c r="I69" s="348"/>
      <c r="J69" s="348"/>
      <c r="K69" s="348"/>
      <c r="L69" s="348"/>
      <c r="M69" s="348"/>
      <c r="N69" s="348"/>
      <c r="O69" s="348"/>
      <c r="P69" s="348"/>
      <c r="Q69" s="348"/>
    </row>
    <row r="70" spans="1:24" x14ac:dyDescent="0.25">
      <c r="C70" s="348"/>
      <c r="D70" s="348"/>
      <c r="E70" s="348"/>
      <c r="F70" s="348"/>
      <c r="G70" s="348"/>
      <c r="H70" s="348"/>
      <c r="I70" s="348"/>
      <c r="J70" s="348"/>
      <c r="K70" s="348"/>
      <c r="L70" s="348"/>
      <c r="M70" s="348"/>
      <c r="N70" s="348"/>
      <c r="O70" s="348"/>
      <c r="P70" s="348"/>
      <c r="Q70" s="348"/>
    </row>
    <row r="71" spans="1:24" x14ac:dyDescent="0.25">
      <c r="C71" s="348"/>
      <c r="D71" s="348"/>
      <c r="E71" s="348"/>
      <c r="F71" s="348"/>
      <c r="G71" s="348"/>
      <c r="H71" s="348"/>
      <c r="I71" s="348"/>
      <c r="J71" s="348"/>
      <c r="K71" s="348"/>
      <c r="L71" s="348"/>
      <c r="M71" s="348"/>
      <c r="N71" s="348"/>
      <c r="O71" s="348"/>
      <c r="P71" s="348"/>
      <c r="Q71" s="348"/>
    </row>
    <row r="73" spans="1:24" x14ac:dyDescent="0.25">
      <c r="A73" s="63" t="s">
        <v>220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80"/>
      <c r="Q73" s="80"/>
      <c r="R73" s="80"/>
      <c r="S73" s="80"/>
      <c r="T73" s="80"/>
      <c r="U73" s="80"/>
      <c r="V73" s="80"/>
      <c r="W73" s="80"/>
      <c r="X73" s="80"/>
    </row>
    <row r="75" spans="1:24" x14ac:dyDescent="0.25">
      <c r="A75" s="477" t="s">
        <v>93</v>
      </c>
      <c r="B75" s="477" t="s">
        <v>94</v>
      </c>
      <c r="D75" s="441" t="s">
        <v>1</v>
      </c>
      <c r="F75" s="437" t="s">
        <v>176</v>
      </c>
      <c r="G75" s="437"/>
      <c r="H75" s="437"/>
      <c r="I75" s="437"/>
      <c r="K75" s="437" t="s">
        <v>254</v>
      </c>
      <c r="L75" s="437"/>
      <c r="M75" s="501" t="s">
        <v>262</v>
      </c>
      <c r="N75" s="501" t="s">
        <v>263</v>
      </c>
    </row>
    <row r="76" spans="1:24" x14ac:dyDescent="0.25">
      <c r="A76" s="347" t="s">
        <v>171</v>
      </c>
      <c r="B76" s="340">
        <v>1.042</v>
      </c>
      <c r="D76" s="408">
        <v>24</v>
      </c>
      <c r="F76" s="64" t="s">
        <v>262</v>
      </c>
      <c r="G76" s="64" t="s">
        <v>107</v>
      </c>
      <c r="H76" s="64" t="s">
        <v>131</v>
      </c>
      <c r="K76" s="18">
        <v>1</v>
      </c>
      <c r="L76" s="25">
        <v>20</v>
      </c>
      <c r="M76" s="340">
        <f>IF('5. Automatik (AEC)'!S76="","",IF('5. Automatik (AEC)'!S76="OK",0,IF('5. Automatik (AEC)'!S76="IKKE OK",2,-2)))</f>
        <v>0</v>
      </c>
      <c r="N76" s="340">
        <f>IF('5. Automatik (AEC)'!R92="","",IF('5. Automatik (AEC)'!R92="OK",0,IF('5. Automatik (AEC)'!R92="IKKE OK",2,-2)))</f>
        <v>0</v>
      </c>
    </row>
    <row r="77" spans="1:24" x14ac:dyDescent="0.25">
      <c r="A77" s="73" t="s">
        <v>172</v>
      </c>
      <c r="B77" s="398">
        <v>1</v>
      </c>
      <c r="D77" s="409">
        <v>25</v>
      </c>
      <c r="F77" s="64" t="s">
        <v>263</v>
      </c>
      <c r="G77" s="64" t="s">
        <v>159</v>
      </c>
      <c r="H77" s="64" t="s">
        <v>161</v>
      </c>
      <c r="K77" s="113">
        <v>2</v>
      </c>
      <c r="L77" s="26">
        <v>30</v>
      </c>
      <c r="M77" s="341">
        <f>IF('5. Automatik (AEC)'!S77="","",IF('5. Automatik (AEC)'!S77="OK",0,IF('5. Automatik (AEC)'!S77="IKKE OK",2,-2)))</f>
        <v>0</v>
      </c>
      <c r="N77" s="341">
        <f>IF('5. Automatik (AEC)'!R93="","",IF('5. Automatik (AEC)'!R93="OK",0,IF('5. Automatik (AEC)'!R93="IKKE OK",2,-2)))</f>
        <v>0</v>
      </c>
    </row>
    <row r="78" spans="1:24" x14ac:dyDescent="0.25">
      <c r="A78" s="73" t="s">
        <v>173</v>
      </c>
      <c r="B78" s="341">
        <v>1.0169999999999999</v>
      </c>
      <c r="D78" s="409">
        <v>26</v>
      </c>
      <c r="K78" s="113">
        <v>3</v>
      </c>
      <c r="L78" s="26">
        <v>40</v>
      </c>
      <c r="M78" s="341">
        <f>IF('5. Automatik (AEC)'!S78="","",IF('5. Automatik (AEC)'!S78="OK",0,IF('5. Automatik (AEC)'!S78="IKKE OK",2,-2)))</f>
        <v>0</v>
      </c>
      <c r="N78" s="341">
        <f>IF('5. Automatik (AEC)'!R94="","",IF('5. Automatik (AEC)'!R94="OK",0,IF('5. Automatik (AEC)'!R94="IKKE OK",2,-2)))</f>
        <v>0</v>
      </c>
    </row>
    <row r="79" spans="1:24" x14ac:dyDescent="0.25">
      <c r="A79" s="73" t="s">
        <v>174</v>
      </c>
      <c r="B79" s="341">
        <v>1.0609999999999999</v>
      </c>
      <c r="D79" s="409">
        <v>27</v>
      </c>
      <c r="F79" s="64" t="s">
        <v>216</v>
      </c>
      <c r="K79" s="113">
        <v>4</v>
      </c>
      <c r="L79" s="26">
        <v>45</v>
      </c>
      <c r="M79" s="341">
        <f>IF('5. Automatik (AEC)'!S79="","",IF('5. Automatik (AEC)'!S79="OK",0,IF('5. Automatik (AEC)'!S79="IKKE OK",2,-2)))</f>
        <v>0</v>
      </c>
      <c r="N79" s="341">
        <f>IF('5. Automatik (AEC)'!R95="","",IF('5. Automatik (AEC)'!R95="OK",0,IF('5. Automatik (AEC)'!R95="IKKE OK",2,-2)))</f>
        <v>0</v>
      </c>
    </row>
    <row r="80" spans="1:24" x14ac:dyDescent="0.25">
      <c r="A80" s="73" t="s">
        <v>175</v>
      </c>
      <c r="B80" s="341">
        <v>1.042</v>
      </c>
      <c r="D80" s="409">
        <v>28</v>
      </c>
      <c r="F80" s="64" t="s">
        <v>217</v>
      </c>
      <c r="K80" s="113">
        <v>5</v>
      </c>
      <c r="L80" s="26">
        <v>50</v>
      </c>
      <c r="M80" s="341">
        <f>IF('5. Automatik (AEC)'!S80="","",IF('5. Automatik (AEC)'!S80="OK",0,IF('5. Automatik (AEC)'!S80="IKKE OK",2,-2)))</f>
        <v>0</v>
      </c>
      <c r="N80" s="341">
        <f>IF('5. Automatik (AEC)'!R96="","",IF('5. Automatik (AEC)'!R96="OK",0,IF('5. Automatik (AEC)'!R96="IKKE OK",2,-2)))</f>
        <v>0</v>
      </c>
    </row>
    <row r="81" spans="1:24" x14ac:dyDescent="0.25">
      <c r="A81" s="73"/>
      <c r="B81" s="341"/>
      <c r="D81" s="409">
        <v>29</v>
      </c>
      <c r="K81" s="113">
        <v>6</v>
      </c>
      <c r="L81" s="26">
        <v>60</v>
      </c>
      <c r="M81" s="341">
        <f>IF('5. Automatik (AEC)'!S81="","",IF('5. Automatik (AEC)'!S81="OK",0,IF('5. Automatik (AEC)'!S81="IKKE OK",2,-2)))</f>
        <v>0</v>
      </c>
      <c r="N81" s="341">
        <f>IF('5. Automatik (AEC)'!R97="","",IF('5. Automatik (AEC)'!R97="OK",0,IF('5. Automatik (AEC)'!R97="IKKE OK",2,-2)))</f>
        <v>0</v>
      </c>
    </row>
    <row r="82" spans="1:24" x14ac:dyDescent="0.25">
      <c r="A82" s="73"/>
      <c r="B82" s="73"/>
      <c r="D82" s="409">
        <v>30</v>
      </c>
      <c r="F82" s="64" t="s">
        <v>250</v>
      </c>
      <c r="G82" s="64" t="s">
        <v>250</v>
      </c>
      <c r="K82" s="121">
        <v>7</v>
      </c>
      <c r="L82" s="27">
        <v>70</v>
      </c>
      <c r="M82" s="342">
        <f>IF('5. Automatik (AEC)'!S82="","",IF('5. Automatik (AEC)'!S82="OK",0,IF('5. Automatik (AEC)'!S82="IKKE OK",2,-2)))</f>
        <v>0</v>
      </c>
      <c r="N82" s="342">
        <f>IF('5. Automatik (AEC)'!R98="","",IF('5. Automatik (AEC)'!R98="OK",0,IF('5. Automatik (AEC)'!R98="IKKE OK",2,-2)))</f>
        <v>0</v>
      </c>
    </row>
    <row r="83" spans="1:24" x14ac:dyDescent="0.25">
      <c r="A83" s="74"/>
      <c r="B83" s="74"/>
      <c r="C83" s="65"/>
      <c r="D83" s="409">
        <v>31</v>
      </c>
      <c r="F83" s="64" t="s">
        <v>251</v>
      </c>
      <c r="G83" s="64" t="s">
        <v>251</v>
      </c>
    </row>
    <row r="84" spans="1:24" x14ac:dyDescent="0.25">
      <c r="D84" s="409">
        <v>32</v>
      </c>
      <c r="G84" s="64" t="s">
        <v>665</v>
      </c>
    </row>
    <row r="85" spans="1:24" x14ac:dyDescent="0.25">
      <c r="D85" s="409">
        <v>33</v>
      </c>
      <c r="G85" s="64" t="s">
        <v>666</v>
      </c>
    </row>
    <row r="86" spans="1:24" x14ac:dyDescent="0.25">
      <c r="D86" s="409">
        <v>34</v>
      </c>
    </row>
    <row r="87" spans="1:24" x14ac:dyDescent="0.25">
      <c r="D87" s="409">
        <v>35</v>
      </c>
    </row>
    <row r="88" spans="1:24" x14ac:dyDescent="0.25">
      <c r="D88" s="73"/>
    </row>
    <row r="89" spans="1:24" x14ac:dyDescent="0.25">
      <c r="D89" s="74"/>
    </row>
    <row r="92" spans="1:24" x14ac:dyDescent="0.25">
      <c r="A92" s="63" t="s">
        <v>219</v>
      </c>
      <c r="B92" s="80"/>
      <c r="C92" s="440"/>
      <c r="D92" s="40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</row>
    <row r="93" spans="1:24" x14ac:dyDescent="0.25">
      <c r="C93" s="438"/>
      <c r="D93" s="385"/>
    </row>
    <row r="94" spans="1:24" x14ac:dyDescent="0.25">
      <c r="A94" s="502" t="s">
        <v>115</v>
      </c>
      <c r="B94" s="502"/>
      <c r="C94" s="503" t="str">
        <f>'2. Røntgenrør m.m.'!A106</f>
        <v>W-Rh</v>
      </c>
      <c r="D94" s="504" t="str">
        <f>'2. Røntgenrør m.m.'!G106</f>
        <v>Mo-Mo</v>
      </c>
      <c r="E94" s="505" t="str">
        <f>'2. Røntgenrør m.m.'!M106</f>
        <v>W-Ag</v>
      </c>
      <c r="H94" s="437" t="s">
        <v>116</v>
      </c>
      <c r="I94" s="437"/>
      <c r="J94" s="506" t="str">
        <f>'2. Røntgenrør m.m.'!A106</f>
        <v>W-Rh</v>
      </c>
      <c r="K94" s="501" t="str">
        <f>'2. Røntgenrør m.m.'!G106</f>
        <v>Mo-Mo</v>
      </c>
      <c r="L94" s="501" t="str">
        <f>'2. Røntgenrør m.m.'!M106</f>
        <v>W-Ag</v>
      </c>
      <c r="P94" s="803" t="s">
        <v>215</v>
      </c>
      <c r="Q94" s="803"/>
      <c r="R94" s="803"/>
      <c r="S94" s="803"/>
      <c r="T94" s="803"/>
      <c r="U94" s="803"/>
      <c r="V94" s="803"/>
    </row>
    <row r="95" spans="1:24" x14ac:dyDescent="0.25">
      <c r="A95" s="610" t="s">
        <v>1</v>
      </c>
      <c r="B95" s="611"/>
      <c r="C95" s="387">
        <v>1</v>
      </c>
      <c r="D95" s="67">
        <v>2</v>
      </c>
      <c r="E95" s="67">
        <v>3</v>
      </c>
      <c r="H95" s="610" t="s">
        <v>1</v>
      </c>
      <c r="I95" s="611"/>
      <c r="J95" s="387">
        <v>1</v>
      </c>
      <c r="K95" s="67">
        <v>2</v>
      </c>
      <c r="L95" s="67">
        <v>3</v>
      </c>
      <c r="P95" s="421" t="s">
        <v>177</v>
      </c>
      <c r="Q95" s="421">
        <v>0.3</v>
      </c>
      <c r="R95" s="421">
        <v>0.12</v>
      </c>
      <c r="S95" s="421">
        <v>0.19</v>
      </c>
      <c r="T95" s="421">
        <v>0.22</v>
      </c>
      <c r="U95" s="421">
        <v>0.32</v>
      </c>
      <c r="V95" s="421">
        <v>0.25</v>
      </c>
    </row>
    <row r="96" spans="1:24" x14ac:dyDescent="0.25">
      <c r="A96" s="612">
        <f>'2. Røntgenrør m.m.'!B112</f>
        <v>24</v>
      </c>
      <c r="B96" s="613">
        <v>1</v>
      </c>
      <c r="C96" s="361" t="str">
        <f>'2. Røntgenrør m.m.'!E112</f>
        <v/>
      </c>
      <c r="D96" s="362" t="str">
        <f>'2. Røntgenrør m.m.'!K112</f>
        <v/>
      </c>
      <c r="E96" s="363" t="str">
        <f>'2. Røntgenrør m.m.'!Q112</f>
        <v/>
      </c>
      <c r="H96" s="612">
        <f>'2. Røntgenrør m.m.'!B112</f>
        <v>24</v>
      </c>
      <c r="I96" s="613">
        <v>1</v>
      </c>
      <c r="J96" s="361">
        <f>'2. Røntgenrør m.m.'!F112</f>
        <v>0</v>
      </c>
      <c r="K96" s="362">
        <f>'2. Røntgenrør m.m.'!L112</f>
        <v>0</v>
      </c>
      <c r="L96" s="363">
        <f>'2. Røntgenrør m.m.'!R112</f>
        <v>0</v>
      </c>
      <c r="M96" s="81"/>
      <c r="N96" s="81"/>
      <c r="O96" s="81"/>
      <c r="P96" s="418"/>
      <c r="Q96" s="416" t="s">
        <v>171</v>
      </c>
      <c r="R96" s="416" t="s">
        <v>172</v>
      </c>
      <c r="S96" s="416" t="s">
        <v>175</v>
      </c>
      <c r="T96" s="411" t="s">
        <v>173</v>
      </c>
      <c r="U96" s="411" t="s">
        <v>174</v>
      </c>
      <c r="V96" s="411" t="s">
        <v>178</v>
      </c>
      <c r="W96" s="81"/>
    </row>
    <row r="97" spans="1:23" x14ac:dyDescent="0.25">
      <c r="A97" s="612">
        <f>'2. Røntgenrør m.m.'!B113</f>
        <v>25</v>
      </c>
      <c r="B97" s="613">
        <v>2</v>
      </c>
      <c r="C97" s="364" t="str">
        <f>'2. Røntgenrør m.m.'!E113</f>
        <v/>
      </c>
      <c r="D97" s="66" t="str">
        <f>'2. Røntgenrør m.m.'!K113</f>
        <v/>
      </c>
      <c r="E97" s="365" t="str">
        <f>'2. Røntgenrør m.m.'!Q113</f>
        <v/>
      </c>
      <c r="H97" s="612">
        <f>'2. Røntgenrør m.m.'!B113</f>
        <v>25</v>
      </c>
      <c r="I97" s="613">
        <v>2</v>
      </c>
      <c r="J97" s="399">
        <f>'2. Røntgenrør m.m.'!F113</f>
        <v>0</v>
      </c>
      <c r="K97" s="66">
        <f>'2. Røntgenrør m.m.'!L113</f>
        <v>0</v>
      </c>
      <c r="L97" s="365">
        <f>'2. Røntgenrør m.m.'!R113</f>
        <v>0</v>
      </c>
      <c r="M97" s="81"/>
      <c r="N97" s="81"/>
      <c r="O97" s="81"/>
      <c r="P97" s="419" t="s">
        <v>1</v>
      </c>
      <c r="Q97" s="420" t="s">
        <v>118</v>
      </c>
      <c r="R97" s="420" t="s">
        <v>118</v>
      </c>
      <c r="S97" s="420" t="s">
        <v>118</v>
      </c>
      <c r="T97" s="420" t="s">
        <v>118</v>
      </c>
      <c r="U97" s="420" t="s">
        <v>118</v>
      </c>
      <c r="V97" s="420" t="s">
        <v>118</v>
      </c>
      <c r="W97" s="81"/>
    </row>
    <row r="98" spans="1:23" x14ac:dyDescent="0.25">
      <c r="A98" s="612">
        <f>'2. Røntgenrør m.m.'!B114</f>
        <v>26</v>
      </c>
      <c r="B98" s="613">
        <v>3</v>
      </c>
      <c r="C98" s="364">
        <f>'2. Røntgenrør m.m.'!E114</f>
        <v>2.2499999999999996E-2</v>
      </c>
      <c r="D98" s="66" t="str">
        <f>'2. Røntgenrør m.m.'!K114</f>
        <v/>
      </c>
      <c r="E98" s="365" t="str">
        <f>'2. Røntgenrør m.m.'!Q114</f>
        <v/>
      </c>
      <c r="H98" s="612">
        <f>'2. Røntgenrør m.m.'!B114</f>
        <v>26</v>
      </c>
      <c r="I98" s="613">
        <v>3</v>
      </c>
      <c r="J98" s="364">
        <f>'2. Røntgenrør m.m.'!F114</f>
        <v>0.54100000000000004</v>
      </c>
      <c r="K98" s="66">
        <f>'2. Røntgenrør m.m.'!L114</f>
        <v>0</v>
      </c>
      <c r="L98" s="365">
        <f>'2. Røntgenrør m.m.'!R114</f>
        <v>0</v>
      </c>
      <c r="M98" s="81"/>
      <c r="N98" s="81"/>
      <c r="O98" s="81"/>
      <c r="P98" s="340">
        <v>24</v>
      </c>
      <c r="Q98" s="452" t="s">
        <v>119</v>
      </c>
      <c r="R98" s="452" t="s">
        <v>135</v>
      </c>
      <c r="S98" s="452" t="s">
        <v>147</v>
      </c>
      <c r="T98" s="452" t="s">
        <v>179</v>
      </c>
      <c r="U98" s="452" t="s">
        <v>191</v>
      </c>
      <c r="V98" s="452" t="s">
        <v>203</v>
      </c>
      <c r="W98" s="81"/>
    </row>
    <row r="99" spans="1:23" x14ac:dyDescent="0.25">
      <c r="A99" s="612">
        <f>'2. Røntgenrør m.m.'!B115</f>
        <v>27</v>
      </c>
      <c r="B99" s="613">
        <v>4</v>
      </c>
      <c r="C99" s="364">
        <f>'2. Røntgenrør m.m.'!E115</f>
        <v>2.5219999999999992E-2</v>
      </c>
      <c r="D99" s="66" t="str">
        <f>'2. Røntgenrør m.m.'!K115</f>
        <v/>
      </c>
      <c r="E99" s="365" t="str">
        <f>'2. Røntgenrør m.m.'!Q115</f>
        <v/>
      </c>
      <c r="H99" s="612">
        <f>'2. Røntgenrør m.m.'!B115</f>
        <v>27</v>
      </c>
      <c r="I99" s="613">
        <v>4</v>
      </c>
      <c r="J99" s="364">
        <f>'2. Røntgenrør m.m.'!F115</f>
        <v>0.55200000000000005</v>
      </c>
      <c r="K99" s="66">
        <f>'2. Røntgenrør m.m.'!L115</f>
        <v>0</v>
      </c>
      <c r="L99" s="365">
        <f>'2. Røntgenrør m.m.'!R115</f>
        <v>0</v>
      </c>
      <c r="M99" s="81"/>
      <c r="N99" s="81"/>
      <c r="O99" s="81"/>
      <c r="P99" s="341">
        <v>25</v>
      </c>
      <c r="Q99" s="453" t="s">
        <v>120</v>
      </c>
      <c r="R99" s="453" t="s">
        <v>136</v>
      </c>
      <c r="S99" s="453" t="s">
        <v>148</v>
      </c>
      <c r="T99" s="453" t="s">
        <v>180</v>
      </c>
      <c r="U99" s="453" t="s">
        <v>192</v>
      </c>
      <c r="V99" s="453" t="s">
        <v>204</v>
      </c>
      <c r="W99" s="81"/>
    </row>
    <row r="100" spans="1:23" x14ac:dyDescent="0.25">
      <c r="A100" s="612">
        <f>'2. Røntgenrør m.m.'!B116</f>
        <v>28</v>
      </c>
      <c r="B100" s="613">
        <v>5</v>
      </c>
      <c r="C100" s="364">
        <f>'2. Røntgenrør m.m.'!E116</f>
        <v>2.7619999999999999E-2</v>
      </c>
      <c r="D100" s="66" t="str">
        <f>'2. Røntgenrør m.m.'!K116</f>
        <v/>
      </c>
      <c r="E100" s="365" t="str">
        <f>'2. Røntgenrør m.m.'!Q116</f>
        <v/>
      </c>
      <c r="H100" s="612">
        <f>'2. Røntgenrør m.m.'!B116</f>
        <v>28</v>
      </c>
      <c r="I100" s="613">
        <v>5</v>
      </c>
      <c r="J100" s="399">
        <f>'2. Røntgenrør m.m.'!F116</f>
        <v>0.56499999999999995</v>
      </c>
      <c r="K100" s="66">
        <f>'2. Røntgenrør m.m.'!L116</f>
        <v>0</v>
      </c>
      <c r="L100" s="365">
        <f>'2. Røntgenrør m.m.'!R116</f>
        <v>0</v>
      </c>
      <c r="M100" s="81"/>
      <c r="N100" s="81"/>
      <c r="O100" s="81"/>
      <c r="P100" s="341">
        <v>26</v>
      </c>
      <c r="Q100" s="453" t="s">
        <v>121</v>
      </c>
      <c r="R100" s="453" t="s">
        <v>137</v>
      </c>
      <c r="S100" s="453" t="s">
        <v>149</v>
      </c>
      <c r="T100" s="453" t="s">
        <v>181</v>
      </c>
      <c r="U100" s="453" t="s">
        <v>193</v>
      </c>
      <c r="V100" s="453" t="s">
        <v>205</v>
      </c>
      <c r="W100" s="81"/>
    </row>
    <row r="101" spans="1:23" x14ac:dyDescent="0.25">
      <c r="A101" s="612">
        <f>'2. Røntgenrør m.m.'!B117</f>
        <v>29</v>
      </c>
      <c r="B101" s="613">
        <v>6</v>
      </c>
      <c r="C101" s="364">
        <f>'2. Røntgenrør m.m.'!E117</f>
        <v>3.0019999999999998E-2</v>
      </c>
      <c r="D101" s="66" t="str">
        <f>'2. Røntgenrør m.m.'!K117</f>
        <v/>
      </c>
      <c r="E101" s="365" t="str">
        <f>'2. Røntgenrør m.m.'!Q117</f>
        <v/>
      </c>
      <c r="H101" s="612">
        <f>'2. Røntgenrør m.m.'!B117</f>
        <v>29</v>
      </c>
      <c r="I101" s="613">
        <v>6</v>
      </c>
      <c r="J101" s="364">
        <f>'2. Røntgenrør m.m.'!F117</f>
        <v>0.57099999999999995</v>
      </c>
      <c r="K101" s="66">
        <f>'2. Røntgenrør m.m.'!L117</f>
        <v>0</v>
      </c>
      <c r="L101" s="365">
        <f>'2. Røntgenrør m.m.'!R117</f>
        <v>0</v>
      </c>
      <c r="M101" s="81"/>
      <c r="N101" s="81"/>
      <c r="O101" s="81"/>
      <c r="P101" s="341">
        <v>27</v>
      </c>
      <c r="Q101" s="453" t="s">
        <v>122</v>
      </c>
      <c r="R101" s="453" t="s">
        <v>138</v>
      </c>
      <c r="S101" s="453" t="s">
        <v>150</v>
      </c>
      <c r="T101" s="453" t="s">
        <v>182</v>
      </c>
      <c r="U101" s="453" t="s">
        <v>194</v>
      </c>
      <c r="V101" s="453" t="s">
        <v>206</v>
      </c>
      <c r="W101" s="81"/>
    </row>
    <row r="102" spans="1:23" x14ac:dyDescent="0.25">
      <c r="A102" s="612">
        <f>'2. Røntgenrør m.m.'!B118</f>
        <v>30</v>
      </c>
      <c r="B102" s="613">
        <v>7</v>
      </c>
      <c r="C102" s="364">
        <f>'2. Røntgenrør m.m.'!E118</f>
        <v>3.2439999999999997E-2</v>
      </c>
      <c r="D102" s="66" t="str">
        <f>'2. Røntgenrør m.m.'!K118</f>
        <v/>
      </c>
      <c r="E102" s="365" t="str">
        <f>'2. Røntgenrør m.m.'!Q118</f>
        <v/>
      </c>
      <c r="H102" s="612">
        <f>'2. Røntgenrør m.m.'!B118</f>
        <v>30</v>
      </c>
      <c r="I102" s="613">
        <v>7</v>
      </c>
      <c r="J102" s="364">
        <f>'2. Røntgenrør m.m.'!F118</f>
        <v>0.58099999999999996</v>
      </c>
      <c r="K102" s="66">
        <f>'2. Røntgenrør m.m.'!L118</f>
        <v>0</v>
      </c>
      <c r="L102" s="365">
        <f>'2. Røntgenrør m.m.'!R118</f>
        <v>0</v>
      </c>
      <c r="M102" s="81"/>
      <c r="N102" s="81"/>
      <c r="O102" s="81"/>
      <c r="P102" s="341">
        <v>28</v>
      </c>
      <c r="Q102" s="453" t="s">
        <v>123</v>
      </c>
      <c r="R102" s="453" t="s">
        <v>139</v>
      </c>
      <c r="S102" s="453" t="s">
        <v>151</v>
      </c>
      <c r="T102" s="453" t="s">
        <v>183</v>
      </c>
      <c r="U102" s="453" t="s">
        <v>195</v>
      </c>
      <c r="V102" s="453" t="s">
        <v>207</v>
      </c>
      <c r="W102" s="81"/>
    </row>
    <row r="103" spans="1:23" x14ac:dyDescent="0.25">
      <c r="A103" s="612">
        <f>'2. Røntgenrør m.m.'!B119</f>
        <v>31</v>
      </c>
      <c r="B103" s="613">
        <v>8</v>
      </c>
      <c r="C103" s="364">
        <f>'2. Røntgenrør m.m.'!E119</f>
        <v>3.5119999999999998E-2</v>
      </c>
      <c r="D103" s="66" t="str">
        <f>'2. Røntgenrør m.m.'!K119</f>
        <v/>
      </c>
      <c r="E103" s="365" t="str">
        <f>'2. Røntgenrør m.m.'!Q119</f>
        <v/>
      </c>
      <c r="H103" s="612">
        <f>'2. Røntgenrør m.m.'!B119</f>
        <v>31</v>
      </c>
      <c r="I103" s="613">
        <v>8</v>
      </c>
      <c r="J103" s="364">
        <f>'2. Røntgenrør m.m.'!F119</f>
        <v>0.58499999999999996</v>
      </c>
      <c r="K103" s="66">
        <f>'2. Røntgenrør m.m.'!L119</f>
        <v>0</v>
      </c>
      <c r="L103" s="365">
        <f>'2. Røntgenrør m.m.'!R119</f>
        <v>0</v>
      </c>
      <c r="M103" s="81"/>
      <c r="N103" s="81"/>
      <c r="O103" s="81"/>
      <c r="P103" s="341">
        <v>29</v>
      </c>
      <c r="Q103" s="453" t="s">
        <v>124</v>
      </c>
      <c r="R103" s="453" t="s">
        <v>140</v>
      </c>
      <c r="S103" s="453" t="s">
        <v>152</v>
      </c>
      <c r="T103" s="453" t="s">
        <v>184</v>
      </c>
      <c r="U103" s="453" t="s">
        <v>196</v>
      </c>
      <c r="V103" s="453" t="s">
        <v>208</v>
      </c>
      <c r="W103" s="81"/>
    </row>
    <row r="104" spans="1:23" x14ac:dyDescent="0.25">
      <c r="A104" s="612">
        <f>'2. Røntgenrør m.m.'!B120</f>
        <v>32</v>
      </c>
      <c r="B104" s="613">
        <v>9</v>
      </c>
      <c r="C104" s="364">
        <f>'2. Røntgenrør m.m.'!E120</f>
        <v>3.7520000000000005E-2</v>
      </c>
      <c r="D104" s="66" t="str">
        <f>'2. Røntgenrør m.m.'!K120</f>
        <v/>
      </c>
      <c r="E104" s="365" t="str">
        <f>'2. Røntgenrør m.m.'!Q120</f>
        <v/>
      </c>
      <c r="H104" s="612">
        <f>'2. Røntgenrør m.m.'!B120</f>
        <v>32</v>
      </c>
      <c r="I104" s="613">
        <v>9</v>
      </c>
      <c r="J104" s="364">
        <f>'2. Røntgenrør m.m.'!F120</f>
        <v>0.59699999999999998</v>
      </c>
      <c r="K104" s="66">
        <f>'2. Røntgenrør m.m.'!L120</f>
        <v>0</v>
      </c>
      <c r="L104" s="365">
        <f>'2. Røntgenrør m.m.'!R120</f>
        <v>0</v>
      </c>
      <c r="M104" s="82"/>
      <c r="N104" s="81"/>
      <c r="O104" s="81"/>
      <c r="P104" s="341">
        <v>30</v>
      </c>
      <c r="Q104" s="453" t="s">
        <v>125</v>
      </c>
      <c r="R104" s="453" t="s">
        <v>141</v>
      </c>
      <c r="S104" s="453" t="s">
        <v>153</v>
      </c>
      <c r="T104" s="453" t="s">
        <v>185</v>
      </c>
      <c r="U104" s="453" t="s">
        <v>197</v>
      </c>
      <c r="V104" s="453" t="s">
        <v>209</v>
      </c>
      <c r="W104" s="81"/>
    </row>
    <row r="105" spans="1:23" x14ac:dyDescent="0.25">
      <c r="A105" s="612">
        <f>'2. Røntgenrør m.m.'!B121</f>
        <v>33</v>
      </c>
      <c r="B105" s="613">
        <v>10</v>
      </c>
      <c r="C105" s="364" t="str">
        <f>'2. Røntgenrør m.m.'!E121</f>
        <v/>
      </c>
      <c r="D105" s="66" t="str">
        <f>'2. Røntgenrør m.m.'!K121</f>
        <v/>
      </c>
      <c r="E105" s="365" t="str">
        <f>'2. Røntgenrør m.m.'!Q121</f>
        <v/>
      </c>
      <c r="H105" s="612">
        <f>'2. Røntgenrør m.m.'!B121</f>
        <v>33</v>
      </c>
      <c r="I105" s="613">
        <v>10</v>
      </c>
      <c r="J105" s="364">
        <f>'2. Røntgenrør m.m.'!F121</f>
        <v>0</v>
      </c>
      <c r="K105" s="66">
        <f>'2. Røntgenrør m.m.'!L121</f>
        <v>0</v>
      </c>
      <c r="L105" s="365">
        <f>'2. Røntgenrør m.m.'!R121</f>
        <v>0</v>
      </c>
      <c r="M105" s="82"/>
      <c r="N105" s="81"/>
      <c r="O105" s="81"/>
      <c r="P105" s="341">
        <v>31</v>
      </c>
      <c r="Q105" s="453" t="s">
        <v>126</v>
      </c>
      <c r="R105" s="453" t="s">
        <v>142</v>
      </c>
      <c r="S105" s="453" t="s">
        <v>154</v>
      </c>
      <c r="T105" s="453" t="s">
        <v>186</v>
      </c>
      <c r="U105" s="453" t="s">
        <v>198</v>
      </c>
      <c r="V105" s="453" t="s">
        <v>210</v>
      </c>
      <c r="W105" s="81"/>
    </row>
    <row r="106" spans="1:23" x14ac:dyDescent="0.25">
      <c r="A106" s="612">
        <f>'2. Røntgenrør m.m.'!B122</f>
        <v>34</v>
      </c>
      <c r="B106" s="613">
        <v>11</v>
      </c>
      <c r="C106" s="364" t="str">
        <f>'2. Røntgenrør m.m.'!E122</f>
        <v/>
      </c>
      <c r="D106" s="66" t="str">
        <f>'2. Røntgenrør m.m.'!K122</f>
        <v/>
      </c>
      <c r="E106" s="365" t="str">
        <f>'2. Røntgenrør m.m.'!Q122</f>
        <v/>
      </c>
      <c r="H106" s="612">
        <f>'2. Røntgenrør m.m.'!B122</f>
        <v>34</v>
      </c>
      <c r="I106" s="613">
        <v>11</v>
      </c>
      <c r="J106" s="364">
        <f>'2. Røntgenrør m.m.'!F122</f>
        <v>0</v>
      </c>
      <c r="K106" s="66">
        <f>'2. Røntgenrør m.m.'!L122</f>
        <v>0</v>
      </c>
      <c r="L106" s="365">
        <f>'2. Røntgenrør m.m.'!R122</f>
        <v>0</v>
      </c>
      <c r="M106" s="81"/>
      <c r="N106" s="81"/>
      <c r="O106" s="81"/>
      <c r="P106" s="341">
        <v>32</v>
      </c>
      <c r="Q106" s="453" t="s">
        <v>127</v>
      </c>
      <c r="R106" s="453" t="s">
        <v>143</v>
      </c>
      <c r="S106" s="453" t="s">
        <v>155</v>
      </c>
      <c r="T106" s="453" t="s">
        <v>187</v>
      </c>
      <c r="U106" s="453" t="s">
        <v>199</v>
      </c>
      <c r="V106" s="453" t="s">
        <v>211</v>
      </c>
      <c r="W106" s="81"/>
    </row>
    <row r="107" spans="1:23" x14ac:dyDescent="0.25">
      <c r="A107" s="614">
        <f>'2. Røntgenrør m.m.'!B123</f>
        <v>35</v>
      </c>
      <c r="B107" s="388">
        <v>12</v>
      </c>
      <c r="C107" s="366" t="str">
        <f>'2. Røntgenrør m.m.'!E123</f>
        <v/>
      </c>
      <c r="D107" s="68" t="str">
        <f>'2. Røntgenrør m.m.'!K123</f>
        <v/>
      </c>
      <c r="E107" s="367" t="str">
        <f>'2. Røntgenrør m.m.'!Q123</f>
        <v/>
      </c>
      <c r="H107" s="614">
        <f>'2. Røntgenrør m.m.'!B123</f>
        <v>35</v>
      </c>
      <c r="I107" s="388">
        <v>12</v>
      </c>
      <c r="J107" s="366">
        <f>'2. Røntgenrør m.m.'!F123</f>
        <v>0</v>
      </c>
      <c r="K107" s="68">
        <f>'2. Røntgenrør m.m.'!L123</f>
        <v>0</v>
      </c>
      <c r="L107" s="367">
        <f>'2. Røntgenrør m.m.'!R123</f>
        <v>0</v>
      </c>
      <c r="M107" s="82"/>
      <c r="N107" s="81"/>
      <c r="O107" s="81"/>
      <c r="P107" s="341">
        <v>33</v>
      </c>
      <c r="Q107" s="453" t="s">
        <v>128</v>
      </c>
      <c r="R107" s="453" t="s">
        <v>144</v>
      </c>
      <c r="S107" s="453" t="s">
        <v>156</v>
      </c>
      <c r="T107" s="453" t="s">
        <v>188</v>
      </c>
      <c r="U107" s="453" t="s">
        <v>200</v>
      </c>
      <c r="V107" s="453" t="s">
        <v>212</v>
      </c>
      <c r="W107" s="81"/>
    </row>
    <row r="108" spans="1:23" x14ac:dyDescent="0.25">
      <c r="A108" s="82"/>
      <c r="I108" s="81"/>
      <c r="J108" s="81"/>
      <c r="K108" s="81"/>
      <c r="L108" s="81"/>
      <c r="M108" s="81"/>
      <c r="N108" s="81"/>
      <c r="O108" s="81"/>
      <c r="P108" s="341">
        <v>34</v>
      </c>
      <c r="Q108" s="453" t="s">
        <v>129</v>
      </c>
      <c r="R108" s="453" t="s">
        <v>145</v>
      </c>
      <c r="S108" s="453" t="s">
        <v>157</v>
      </c>
      <c r="T108" s="453" t="s">
        <v>189</v>
      </c>
      <c r="U108" s="453" t="s">
        <v>201</v>
      </c>
      <c r="V108" s="453" t="s">
        <v>213</v>
      </c>
      <c r="W108" s="81"/>
    </row>
    <row r="109" spans="1:23" x14ac:dyDescent="0.25">
      <c r="A109" s="82"/>
      <c r="I109" s="81"/>
      <c r="J109" s="81"/>
      <c r="K109" s="81"/>
      <c r="L109" s="81"/>
      <c r="M109" s="81"/>
      <c r="N109" s="81"/>
      <c r="O109" s="81"/>
      <c r="P109" s="342">
        <v>35</v>
      </c>
      <c r="Q109" s="454" t="s">
        <v>130</v>
      </c>
      <c r="R109" s="454" t="s">
        <v>146</v>
      </c>
      <c r="S109" s="454" t="s">
        <v>158</v>
      </c>
      <c r="T109" s="454" t="s">
        <v>190</v>
      </c>
      <c r="U109" s="454" t="s">
        <v>202</v>
      </c>
      <c r="V109" s="454" t="s">
        <v>214</v>
      </c>
      <c r="W109" s="81"/>
    </row>
    <row r="110" spans="1:23" x14ac:dyDescent="0.25">
      <c r="A110" s="82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</row>
    <row r="111" spans="1:23" x14ac:dyDescent="0.25">
      <c r="A111" s="82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</row>
    <row r="112" spans="1:23" x14ac:dyDescent="0.25">
      <c r="A112" s="82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</row>
    <row r="113" spans="1:24" x14ac:dyDescent="0.25">
      <c r="A113" s="82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</row>
    <row r="114" spans="1:24" x14ac:dyDescent="0.25">
      <c r="A114" s="442" t="s">
        <v>221</v>
      </c>
      <c r="B114" s="80"/>
      <c r="C114" s="80"/>
      <c r="D114" s="80"/>
      <c r="E114" s="80"/>
      <c r="F114" s="80"/>
      <c r="G114" s="80"/>
      <c r="H114" s="80"/>
      <c r="I114" s="400"/>
      <c r="J114" s="400"/>
      <c r="K114" s="400"/>
      <c r="L114" s="400"/>
      <c r="M114" s="400"/>
      <c r="N114" s="400"/>
      <c r="O114" s="400"/>
      <c r="P114" s="400"/>
      <c r="Q114" s="400"/>
      <c r="R114" s="400"/>
      <c r="S114" s="400"/>
      <c r="T114" s="400"/>
      <c r="U114" s="400"/>
      <c r="V114" s="400"/>
      <c r="W114" s="400"/>
      <c r="X114" s="80"/>
    </row>
    <row r="117" spans="1:24" x14ac:dyDescent="0.25">
      <c r="N117" s="25" t="s">
        <v>11</v>
      </c>
      <c r="O117" s="25" t="s">
        <v>11</v>
      </c>
      <c r="P117" s="25" t="s">
        <v>11</v>
      </c>
      <c r="Q117" s="25" t="s">
        <v>11</v>
      </c>
      <c r="R117" s="25" t="s">
        <v>11</v>
      </c>
      <c r="S117" s="25" t="s">
        <v>11</v>
      </c>
    </row>
    <row r="118" spans="1:24" x14ac:dyDescent="0.25">
      <c r="K118" s="82"/>
      <c r="N118" s="26" t="s">
        <v>117</v>
      </c>
      <c r="O118" s="26" t="s">
        <v>117</v>
      </c>
      <c r="P118" s="26" t="s">
        <v>117</v>
      </c>
      <c r="Q118" s="26" t="s">
        <v>117</v>
      </c>
      <c r="R118" s="26" t="s">
        <v>117</v>
      </c>
      <c r="S118" s="26" t="s">
        <v>117</v>
      </c>
    </row>
    <row r="119" spans="1:24" x14ac:dyDescent="0.25">
      <c r="B119" s="336" t="s">
        <v>100</v>
      </c>
      <c r="C119" s="65" t="s">
        <v>177</v>
      </c>
      <c r="D119" s="412"/>
      <c r="E119" s="65">
        <v>0.3</v>
      </c>
      <c r="F119" s="65">
        <v>0.12</v>
      </c>
      <c r="G119" s="65">
        <v>0.19</v>
      </c>
      <c r="H119" s="65">
        <v>0.22</v>
      </c>
      <c r="I119" s="65">
        <v>0.32</v>
      </c>
      <c r="J119" s="65">
        <v>0.25</v>
      </c>
      <c r="K119" s="415"/>
      <c r="N119" s="27" t="s">
        <v>12</v>
      </c>
      <c r="O119" s="27" t="s">
        <v>12</v>
      </c>
      <c r="P119" s="27" t="s">
        <v>12</v>
      </c>
      <c r="Q119" s="27" t="s">
        <v>12</v>
      </c>
      <c r="R119" s="27" t="s">
        <v>12</v>
      </c>
      <c r="S119" s="27" t="s">
        <v>12</v>
      </c>
    </row>
    <row r="120" spans="1:24" x14ac:dyDescent="0.25">
      <c r="B120" s="337" t="s">
        <v>5</v>
      </c>
      <c r="C120" s="337" t="s">
        <v>1</v>
      </c>
      <c r="D120" s="337"/>
      <c r="E120" s="337" t="s">
        <v>171</v>
      </c>
      <c r="F120" s="337" t="s">
        <v>172</v>
      </c>
      <c r="G120" s="337" t="s">
        <v>173</v>
      </c>
      <c r="H120" s="337" t="s">
        <v>174</v>
      </c>
      <c r="I120" s="337" t="s">
        <v>175</v>
      </c>
      <c r="J120" s="413" t="s">
        <v>178</v>
      </c>
      <c r="K120" s="415"/>
      <c r="N120" s="156" t="s">
        <v>118</v>
      </c>
      <c r="O120" s="156" t="s">
        <v>118</v>
      </c>
      <c r="P120" s="156" t="s">
        <v>118</v>
      </c>
      <c r="Q120" s="156" t="s">
        <v>118</v>
      </c>
      <c r="R120" s="156" t="s">
        <v>118</v>
      </c>
      <c r="S120" s="156" t="s">
        <v>118</v>
      </c>
    </row>
    <row r="121" spans="1:24" x14ac:dyDescent="0.25">
      <c r="B121" s="338"/>
      <c r="C121" s="338"/>
      <c r="D121" s="338" t="s">
        <v>98</v>
      </c>
      <c r="E121" s="338" t="s">
        <v>99</v>
      </c>
      <c r="F121" s="338" t="s">
        <v>99</v>
      </c>
      <c r="G121" s="338" t="s">
        <v>99</v>
      </c>
      <c r="H121" s="338" t="s">
        <v>99</v>
      </c>
      <c r="I121" s="338" t="s">
        <v>99</v>
      </c>
      <c r="J121" s="338" t="s">
        <v>99</v>
      </c>
      <c r="K121" s="415"/>
      <c r="N121" s="337" t="s">
        <v>171</v>
      </c>
      <c r="O121" s="337" t="s">
        <v>172</v>
      </c>
      <c r="P121" s="337" t="s">
        <v>175</v>
      </c>
      <c r="Q121" s="152" t="s">
        <v>173</v>
      </c>
      <c r="R121" s="152" t="s">
        <v>174</v>
      </c>
      <c r="S121" s="152" t="s">
        <v>178</v>
      </c>
    </row>
    <row r="122" spans="1:24" x14ac:dyDescent="0.25">
      <c r="B122" s="339"/>
      <c r="C122" s="339"/>
      <c r="D122" s="339" t="s">
        <v>16</v>
      </c>
      <c r="E122" s="339" t="s">
        <v>16</v>
      </c>
      <c r="F122" s="339" t="s">
        <v>16</v>
      </c>
      <c r="G122" s="339" t="s">
        <v>16</v>
      </c>
      <c r="H122" s="339" t="s">
        <v>16</v>
      </c>
      <c r="I122" s="339" t="s">
        <v>16</v>
      </c>
      <c r="J122" s="414" t="s">
        <v>16</v>
      </c>
      <c r="K122" s="415"/>
      <c r="L122" s="337" t="s">
        <v>1</v>
      </c>
      <c r="M122" s="337" t="s">
        <v>5</v>
      </c>
      <c r="N122" s="417">
        <v>1</v>
      </c>
      <c r="O122" s="417">
        <v>2</v>
      </c>
      <c r="P122" s="417">
        <v>3</v>
      </c>
      <c r="Q122" s="417">
        <v>4</v>
      </c>
      <c r="R122" s="417">
        <v>5</v>
      </c>
      <c r="S122" s="417">
        <v>6</v>
      </c>
    </row>
    <row r="123" spans="1:24" x14ac:dyDescent="0.25">
      <c r="B123" s="340">
        <v>1</v>
      </c>
      <c r="C123" s="340">
        <v>24</v>
      </c>
      <c r="D123" s="340">
        <f>C123/100+0.03</f>
        <v>0.27</v>
      </c>
      <c r="E123" s="340">
        <f t="shared" ref="E123:J134" si="4">$C123/100+E$119</f>
        <v>0.54</v>
      </c>
      <c r="F123" s="340">
        <f t="shared" si="4"/>
        <v>0.36</v>
      </c>
      <c r="G123" s="70">
        <f t="shared" si="4"/>
        <v>0.43</v>
      </c>
      <c r="H123" s="70">
        <f t="shared" si="4"/>
        <v>0.45999999999999996</v>
      </c>
      <c r="I123" s="340">
        <f t="shared" si="4"/>
        <v>0.56000000000000005</v>
      </c>
      <c r="J123" s="70">
        <f t="shared" si="4"/>
        <v>0.49</v>
      </c>
      <c r="K123" s="415"/>
      <c r="L123" s="340">
        <v>24</v>
      </c>
      <c r="M123" s="340">
        <v>1</v>
      </c>
      <c r="N123" s="187" t="s">
        <v>119</v>
      </c>
      <c r="O123" s="187" t="s">
        <v>135</v>
      </c>
      <c r="P123" s="187" t="s">
        <v>147</v>
      </c>
      <c r="Q123" s="187" t="s">
        <v>179</v>
      </c>
      <c r="R123" s="187" t="s">
        <v>191</v>
      </c>
      <c r="S123" s="187" t="s">
        <v>203</v>
      </c>
    </row>
    <row r="124" spans="1:24" x14ac:dyDescent="0.25">
      <c r="B124" s="341">
        <v>2</v>
      </c>
      <c r="C124" s="341">
        <v>25</v>
      </c>
      <c r="D124" s="341">
        <f t="shared" ref="D124:D134" si="5">C124/100+0.03</f>
        <v>0.28000000000000003</v>
      </c>
      <c r="E124" s="341">
        <f t="shared" si="4"/>
        <v>0.55000000000000004</v>
      </c>
      <c r="F124" s="341">
        <f t="shared" si="4"/>
        <v>0.37</v>
      </c>
      <c r="G124" s="71">
        <f t="shared" si="4"/>
        <v>0.44</v>
      </c>
      <c r="H124" s="71">
        <f t="shared" si="4"/>
        <v>0.47</v>
      </c>
      <c r="I124" s="341">
        <f t="shared" si="4"/>
        <v>0.57000000000000006</v>
      </c>
      <c r="J124" s="71">
        <f t="shared" si="4"/>
        <v>0.5</v>
      </c>
      <c r="K124" s="415"/>
      <c r="L124" s="341">
        <v>25</v>
      </c>
      <c r="M124" s="341">
        <v>2</v>
      </c>
      <c r="N124" s="188" t="s">
        <v>120</v>
      </c>
      <c r="O124" s="188" t="s">
        <v>136</v>
      </c>
      <c r="P124" s="188" t="s">
        <v>148</v>
      </c>
      <c r="Q124" s="188" t="s">
        <v>180</v>
      </c>
      <c r="R124" s="188" t="s">
        <v>192</v>
      </c>
      <c r="S124" s="188" t="s">
        <v>204</v>
      </c>
    </row>
    <row r="125" spans="1:24" x14ac:dyDescent="0.25">
      <c r="B125" s="341">
        <v>3</v>
      </c>
      <c r="C125" s="341">
        <v>26</v>
      </c>
      <c r="D125" s="341">
        <f t="shared" si="5"/>
        <v>0.29000000000000004</v>
      </c>
      <c r="E125" s="341">
        <f t="shared" si="4"/>
        <v>0.56000000000000005</v>
      </c>
      <c r="F125" s="341">
        <f t="shared" si="4"/>
        <v>0.38</v>
      </c>
      <c r="G125" s="71">
        <f t="shared" si="4"/>
        <v>0.45</v>
      </c>
      <c r="H125" s="71">
        <f t="shared" si="4"/>
        <v>0.48</v>
      </c>
      <c r="I125" s="341">
        <f t="shared" si="4"/>
        <v>0.58000000000000007</v>
      </c>
      <c r="J125" s="71">
        <f t="shared" si="4"/>
        <v>0.51</v>
      </c>
      <c r="K125" s="415"/>
      <c r="L125" s="341">
        <v>26</v>
      </c>
      <c r="M125" s="341">
        <v>3</v>
      </c>
      <c r="N125" s="188" t="s">
        <v>121</v>
      </c>
      <c r="O125" s="188" t="s">
        <v>137</v>
      </c>
      <c r="P125" s="188" t="s">
        <v>149</v>
      </c>
      <c r="Q125" s="188" t="s">
        <v>181</v>
      </c>
      <c r="R125" s="188" t="s">
        <v>193</v>
      </c>
      <c r="S125" s="188" t="s">
        <v>205</v>
      </c>
    </row>
    <row r="126" spans="1:24" x14ac:dyDescent="0.25">
      <c r="B126" s="341">
        <v>4</v>
      </c>
      <c r="C126" s="341">
        <v>27</v>
      </c>
      <c r="D126" s="341">
        <f t="shared" si="5"/>
        <v>0.30000000000000004</v>
      </c>
      <c r="E126" s="341">
        <f t="shared" si="4"/>
        <v>0.57000000000000006</v>
      </c>
      <c r="F126" s="341">
        <f t="shared" si="4"/>
        <v>0.39</v>
      </c>
      <c r="G126" s="71">
        <f t="shared" si="4"/>
        <v>0.46</v>
      </c>
      <c r="H126" s="71">
        <f t="shared" si="4"/>
        <v>0.49</v>
      </c>
      <c r="I126" s="341">
        <f t="shared" si="4"/>
        <v>0.59000000000000008</v>
      </c>
      <c r="J126" s="71">
        <f t="shared" si="4"/>
        <v>0.52</v>
      </c>
      <c r="K126" s="415"/>
      <c r="L126" s="341">
        <v>27</v>
      </c>
      <c r="M126" s="341">
        <v>4</v>
      </c>
      <c r="N126" s="188" t="s">
        <v>122</v>
      </c>
      <c r="O126" s="188" t="s">
        <v>138</v>
      </c>
      <c r="P126" s="188" t="s">
        <v>150</v>
      </c>
      <c r="Q126" s="188" t="s">
        <v>182</v>
      </c>
      <c r="R126" s="188" t="s">
        <v>194</v>
      </c>
      <c r="S126" s="188" t="s">
        <v>206</v>
      </c>
    </row>
    <row r="127" spans="1:24" x14ac:dyDescent="0.25">
      <c r="B127" s="341">
        <v>5</v>
      </c>
      <c r="C127" s="341">
        <v>28</v>
      </c>
      <c r="D127" s="341">
        <f t="shared" si="5"/>
        <v>0.31000000000000005</v>
      </c>
      <c r="E127" s="341">
        <f t="shared" si="4"/>
        <v>0.58000000000000007</v>
      </c>
      <c r="F127" s="341">
        <f t="shared" si="4"/>
        <v>0.4</v>
      </c>
      <c r="G127" s="71">
        <f t="shared" si="4"/>
        <v>0.47000000000000003</v>
      </c>
      <c r="H127" s="71">
        <f t="shared" si="4"/>
        <v>0.5</v>
      </c>
      <c r="I127" s="341">
        <f t="shared" si="4"/>
        <v>0.60000000000000009</v>
      </c>
      <c r="J127" s="71">
        <f t="shared" si="4"/>
        <v>0.53</v>
      </c>
      <c r="K127" s="415"/>
      <c r="L127" s="341">
        <v>28</v>
      </c>
      <c r="M127" s="341">
        <v>5</v>
      </c>
      <c r="N127" s="188" t="s">
        <v>123</v>
      </c>
      <c r="O127" s="188" t="s">
        <v>139</v>
      </c>
      <c r="P127" s="188" t="s">
        <v>151</v>
      </c>
      <c r="Q127" s="188" t="s">
        <v>183</v>
      </c>
      <c r="R127" s="188" t="s">
        <v>195</v>
      </c>
      <c r="S127" s="188" t="s">
        <v>207</v>
      </c>
    </row>
    <row r="128" spans="1:24" x14ac:dyDescent="0.25">
      <c r="B128" s="341">
        <v>6</v>
      </c>
      <c r="C128" s="341">
        <v>29</v>
      </c>
      <c r="D128" s="341">
        <f t="shared" si="5"/>
        <v>0.31999999999999995</v>
      </c>
      <c r="E128" s="341">
        <f t="shared" si="4"/>
        <v>0.59</v>
      </c>
      <c r="F128" s="341">
        <f t="shared" si="4"/>
        <v>0.41</v>
      </c>
      <c r="G128" s="71">
        <f t="shared" si="4"/>
        <v>0.48</v>
      </c>
      <c r="H128" s="71">
        <f t="shared" si="4"/>
        <v>0.51</v>
      </c>
      <c r="I128" s="341">
        <f t="shared" si="4"/>
        <v>0.61</v>
      </c>
      <c r="J128" s="71">
        <f t="shared" si="4"/>
        <v>0.54</v>
      </c>
      <c r="K128" s="415"/>
      <c r="L128" s="341">
        <v>29</v>
      </c>
      <c r="M128" s="341">
        <v>6</v>
      </c>
      <c r="N128" s="188" t="s">
        <v>124</v>
      </c>
      <c r="O128" s="188" t="s">
        <v>140</v>
      </c>
      <c r="P128" s="188" t="s">
        <v>152</v>
      </c>
      <c r="Q128" s="188" t="s">
        <v>184</v>
      </c>
      <c r="R128" s="188" t="s">
        <v>196</v>
      </c>
      <c r="S128" s="188" t="s">
        <v>208</v>
      </c>
    </row>
    <row r="129" spans="2:20" x14ac:dyDescent="0.25">
      <c r="B129" s="341">
        <v>7</v>
      </c>
      <c r="C129" s="341">
        <v>30</v>
      </c>
      <c r="D129" s="341">
        <f t="shared" si="5"/>
        <v>0.32999999999999996</v>
      </c>
      <c r="E129" s="341">
        <f t="shared" si="4"/>
        <v>0.6</v>
      </c>
      <c r="F129" s="341">
        <f t="shared" si="4"/>
        <v>0.42</v>
      </c>
      <c r="G129" s="71">
        <f t="shared" si="4"/>
        <v>0.49</v>
      </c>
      <c r="H129" s="71">
        <f t="shared" si="4"/>
        <v>0.52</v>
      </c>
      <c r="I129" s="341">
        <f t="shared" si="4"/>
        <v>0.62</v>
      </c>
      <c r="J129" s="71">
        <f t="shared" si="4"/>
        <v>0.55000000000000004</v>
      </c>
      <c r="K129" s="415"/>
      <c r="L129" s="341">
        <v>30</v>
      </c>
      <c r="M129" s="341">
        <v>7</v>
      </c>
      <c r="N129" s="188" t="s">
        <v>125</v>
      </c>
      <c r="O129" s="188" t="s">
        <v>141</v>
      </c>
      <c r="P129" s="188" t="s">
        <v>153</v>
      </c>
      <c r="Q129" s="188" t="s">
        <v>185</v>
      </c>
      <c r="R129" s="188" t="s">
        <v>197</v>
      </c>
      <c r="S129" s="188" t="s">
        <v>209</v>
      </c>
    </row>
    <row r="130" spans="2:20" x14ac:dyDescent="0.25">
      <c r="B130" s="341">
        <v>8</v>
      </c>
      <c r="C130" s="341">
        <v>31</v>
      </c>
      <c r="D130" s="341">
        <f t="shared" si="5"/>
        <v>0.33999999999999997</v>
      </c>
      <c r="E130" s="341">
        <f t="shared" si="4"/>
        <v>0.61</v>
      </c>
      <c r="F130" s="341">
        <f t="shared" si="4"/>
        <v>0.43</v>
      </c>
      <c r="G130" s="71">
        <f t="shared" si="4"/>
        <v>0.5</v>
      </c>
      <c r="H130" s="71">
        <f t="shared" si="4"/>
        <v>0.53</v>
      </c>
      <c r="I130" s="341">
        <f t="shared" si="4"/>
        <v>0.63</v>
      </c>
      <c r="J130" s="71">
        <f t="shared" si="4"/>
        <v>0.56000000000000005</v>
      </c>
      <c r="K130" s="415"/>
      <c r="L130" s="341">
        <v>31</v>
      </c>
      <c r="M130" s="341">
        <v>8</v>
      </c>
      <c r="N130" s="188" t="s">
        <v>126</v>
      </c>
      <c r="O130" s="188" t="s">
        <v>142</v>
      </c>
      <c r="P130" s="188" t="s">
        <v>154</v>
      </c>
      <c r="Q130" s="188" t="s">
        <v>186</v>
      </c>
      <c r="R130" s="188" t="s">
        <v>198</v>
      </c>
      <c r="S130" s="188" t="s">
        <v>210</v>
      </c>
    </row>
    <row r="131" spans="2:20" x14ac:dyDescent="0.25">
      <c r="B131" s="341">
        <v>9</v>
      </c>
      <c r="C131" s="341">
        <v>32</v>
      </c>
      <c r="D131" s="341">
        <f t="shared" si="5"/>
        <v>0.35</v>
      </c>
      <c r="E131" s="341">
        <f t="shared" si="4"/>
        <v>0.62</v>
      </c>
      <c r="F131" s="341">
        <f t="shared" si="4"/>
        <v>0.44</v>
      </c>
      <c r="G131" s="71">
        <f t="shared" si="4"/>
        <v>0.51</v>
      </c>
      <c r="H131" s="71">
        <f t="shared" si="4"/>
        <v>0.54</v>
      </c>
      <c r="I131" s="341">
        <f t="shared" si="4"/>
        <v>0.64</v>
      </c>
      <c r="J131" s="71">
        <f t="shared" si="4"/>
        <v>0.57000000000000006</v>
      </c>
      <c r="K131" s="415"/>
      <c r="L131" s="341">
        <v>32</v>
      </c>
      <c r="M131" s="341">
        <v>9</v>
      </c>
      <c r="N131" s="188" t="s">
        <v>127</v>
      </c>
      <c r="O131" s="188" t="s">
        <v>143</v>
      </c>
      <c r="P131" s="188" t="s">
        <v>155</v>
      </c>
      <c r="Q131" s="188" t="s">
        <v>187</v>
      </c>
      <c r="R131" s="188" t="s">
        <v>199</v>
      </c>
      <c r="S131" s="188" t="s">
        <v>211</v>
      </c>
    </row>
    <row r="132" spans="2:20" x14ac:dyDescent="0.25">
      <c r="B132" s="341">
        <v>10</v>
      </c>
      <c r="C132" s="341">
        <v>33</v>
      </c>
      <c r="D132" s="341">
        <f t="shared" si="5"/>
        <v>0.36</v>
      </c>
      <c r="E132" s="341">
        <f t="shared" si="4"/>
        <v>0.63</v>
      </c>
      <c r="F132" s="341">
        <f t="shared" si="4"/>
        <v>0.45</v>
      </c>
      <c r="G132" s="71">
        <f t="shared" si="4"/>
        <v>0.52</v>
      </c>
      <c r="H132" s="71">
        <f t="shared" si="4"/>
        <v>0.55000000000000004</v>
      </c>
      <c r="I132" s="341">
        <f t="shared" si="4"/>
        <v>0.65</v>
      </c>
      <c r="J132" s="71">
        <f t="shared" si="4"/>
        <v>0.58000000000000007</v>
      </c>
      <c r="K132" s="415"/>
      <c r="L132" s="341">
        <v>33</v>
      </c>
      <c r="M132" s="341">
        <v>10</v>
      </c>
      <c r="N132" s="188" t="s">
        <v>128</v>
      </c>
      <c r="O132" s="188" t="s">
        <v>144</v>
      </c>
      <c r="P132" s="188" t="s">
        <v>156</v>
      </c>
      <c r="Q132" s="188" t="s">
        <v>188</v>
      </c>
      <c r="R132" s="188" t="s">
        <v>200</v>
      </c>
      <c r="S132" s="188" t="s">
        <v>212</v>
      </c>
    </row>
    <row r="133" spans="2:20" x14ac:dyDescent="0.25">
      <c r="B133" s="341">
        <v>11</v>
      </c>
      <c r="C133" s="341">
        <v>34</v>
      </c>
      <c r="D133" s="341">
        <f t="shared" si="5"/>
        <v>0.37</v>
      </c>
      <c r="E133" s="341">
        <f t="shared" si="4"/>
        <v>0.64</v>
      </c>
      <c r="F133" s="341">
        <f t="shared" si="4"/>
        <v>0.46</v>
      </c>
      <c r="G133" s="71">
        <f t="shared" si="4"/>
        <v>0.53</v>
      </c>
      <c r="H133" s="71">
        <f t="shared" si="4"/>
        <v>0.56000000000000005</v>
      </c>
      <c r="I133" s="341">
        <f t="shared" si="4"/>
        <v>0.66</v>
      </c>
      <c r="J133" s="71">
        <f t="shared" si="4"/>
        <v>0.59000000000000008</v>
      </c>
      <c r="K133" s="415"/>
      <c r="L133" s="341">
        <v>34</v>
      </c>
      <c r="M133" s="341">
        <v>11</v>
      </c>
      <c r="N133" s="188" t="s">
        <v>129</v>
      </c>
      <c r="O133" s="188" t="s">
        <v>145</v>
      </c>
      <c r="P133" s="188" t="s">
        <v>157</v>
      </c>
      <c r="Q133" s="188" t="s">
        <v>189</v>
      </c>
      <c r="R133" s="188" t="s">
        <v>201</v>
      </c>
      <c r="S133" s="188" t="s">
        <v>213</v>
      </c>
    </row>
    <row r="134" spans="2:20" x14ac:dyDescent="0.25">
      <c r="B134" s="342">
        <v>12</v>
      </c>
      <c r="C134" s="342">
        <v>35</v>
      </c>
      <c r="D134" s="342">
        <f t="shared" si="5"/>
        <v>0.38</v>
      </c>
      <c r="E134" s="342">
        <f t="shared" si="4"/>
        <v>0.64999999999999991</v>
      </c>
      <c r="F134" s="342">
        <f t="shared" si="4"/>
        <v>0.47</v>
      </c>
      <c r="G134" s="72">
        <f t="shared" si="4"/>
        <v>0.54</v>
      </c>
      <c r="H134" s="72">
        <f t="shared" si="4"/>
        <v>0.56999999999999995</v>
      </c>
      <c r="I134" s="342">
        <f t="shared" si="4"/>
        <v>0.66999999999999993</v>
      </c>
      <c r="J134" s="72">
        <f t="shared" si="4"/>
        <v>0.6</v>
      </c>
      <c r="K134" s="81"/>
      <c r="L134" s="342">
        <v>35</v>
      </c>
      <c r="M134" s="342">
        <v>12</v>
      </c>
      <c r="N134" s="189" t="s">
        <v>130</v>
      </c>
      <c r="O134" s="189" t="s">
        <v>146</v>
      </c>
      <c r="P134" s="189" t="s">
        <v>158</v>
      </c>
      <c r="Q134" s="189" t="s">
        <v>190</v>
      </c>
      <c r="R134" s="189" t="s">
        <v>202</v>
      </c>
      <c r="S134" s="189" t="s">
        <v>214</v>
      </c>
    </row>
    <row r="137" spans="2:20" x14ac:dyDescent="0.25">
      <c r="N137" s="43"/>
      <c r="O137" s="43"/>
      <c r="P137" s="43"/>
      <c r="Q137" s="43"/>
      <c r="R137" s="43"/>
      <c r="S137" s="43"/>
      <c r="T137" s="385"/>
    </row>
    <row r="138" spans="2:20" x14ac:dyDescent="0.25">
      <c r="N138" s="43"/>
      <c r="O138" s="43"/>
      <c r="P138" s="43"/>
      <c r="Q138" s="43"/>
      <c r="R138" s="43"/>
      <c r="S138" s="43"/>
      <c r="T138" s="385"/>
    </row>
    <row r="139" spans="2:20" x14ac:dyDescent="0.25">
      <c r="N139" s="43"/>
      <c r="O139" s="43"/>
      <c r="P139" s="43"/>
      <c r="Q139" s="43"/>
      <c r="R139" s="43"/>
      <c r="S139" s="43"/>
      <c r="T139" s="385"/>
    </row>
  </sheetData>
  <mergeCells count="13">
    <mergeCell ref="Z6:AB6"/>
    <mergeCell ref="P41:T41"/>
    <mergeCell ref="V41:X41"/>
    <mergeCell ref="Z41:AB41"/>
    <mergeCell ref="D6:N6"/>
    <mergeCell ref="D7:N7"/>
    <mergeCell ref="D8:N8"/>
    <mergeCell ref="P94:V94"/>
    <mergeCell ref="D41:N41"/>
    <mergeCell ref="D42:N42"/>
    <mergeCell ref="D43:N43"/>
    <mergeCell ref="P6:T6"/>
    <mergeCell ref="V6:X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>
      <selection activeCell="A2" sqref="A2"/>
    </sheetView>
  </sheetViews>
  <sheetFormatPr defaultColWidth="9.140625" defaultRowHeight="15" x14ac:dyDescent="0.25"/>
  <cols>
    <col min="1" max="1" width="34.140625" style="94" customWidth="1"/>
    <col min="2" max="2" width="23.7109375" style="94" customWidth="1"/>
    <col min="3" max="3" width="19.42578125" style="94" customWidth="1"/>
    <col min="4" max="4" width="22.140625" style="94" customWidth="1"/>
    <col min="5" max="5" width="19.42578125" style="94" customWidth="1"/>
    <col min="6" max="6" width="22.28515625" style="94" customWidth="1"/>
    <col min="7" max="16384" width="9.140625" style="94"/>
  </cols>
  <sheetData>
    <row r="1" spans="1:17" ht="18.75" x14ac:dyDescent="0.3">
      <c r="A1" s="123" t="s">
        <v>706</v>
      </c>
      <c r="B1" s="124"/>
      <c r="C1" s="124"/>
      <c r="D1" s="124"/>
      <c r="E1" s="124"/>
      <c r="F1" s="124"/>
    </row>
    <row r="2" spans="1:17" x14ac:dyDescent="0.25">
      <c r="A2" s="89" t="s">
        <v>280</v>
      </c>
      <c r="B2" s="91" t="str">
        <f>IF(B9="","",B9)</f>
        <v>Region H</v>
      </c>
      <c r="C2" s="92" t="s">
        <v>281</v>
      </c>
      <c r="D2" s="91" t="str">
        <f>IF(B23="","",B23)</f>
        <v>Modtagekontrol</v>
      </c>
      <c r="E2" s="92" t="s">
        <v>282</v>
      </c>
      <c r="F2" s="449" t="str">
        <f>IF(B22="","",B22)</f>
        <v>Siemens</v>
      </c>
    </row>
    <row r="3" spans="1:17" x14ac:dyDescent="0.25">
      <c r="A3" s="95" t="s">
        <v>283</v>
      </c>
      <c r="B3" s="97" t="str">
        <f>IF(B10="","",B10)</f>
        <v>HGH Gentofte</v>
      </c>
      <c r="C3" s="98" t="s">
        <v>284</v>
      </c>
      <c r="D3" s="97" t="str">
        <f>IF(B15="","",B15)</f>
        <v>Revelation</v>
      </c>
      <c r="E3" s="98" t="s">
        <v>285</v>
      </c>
      <c r="F3" s="450" t="str">
        <f>IF(B24="","",B24)</f>
        <v>01.01.2022</v>
      </c>
      <c r="G3" s="125"/>
      <c r="H3" s="125"/>
      <c r="I3" s="125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00" t="s">
        <v>286</v>
      </c>
      <c r="B4" s="97" t="str">
        <f>IF(B11="","",B11)</f>
        <v>Gentofte Screening</v>
      </c>
      <c r="C4" s="98" t="s">
        <v>287</v>
      </c>
      <c r="D4" s="101">
        <f>IF(B16="","",B16)</f>
        <v>1234</v>
      </c>
      <c r="E4" s="98" t="s">
        <v>288</v>
      </c>
      <c r="F4" s="450" t="str">
        <f>IF(B26="","",B26)</f>
        <v>EA</v>
      </c>
      <c r="G4" s="125"/>
      <c r="H4" s="125"/>
      <c r="I4" s="125"/>
      <c r="J4" s="126"/>
      <c r="K4" s="126"/>
      <c r="L4" s="126"/>
      <c r="M4" s="126"/>
      <c r="N4" s="126"/>
      <c r="O4" s="126"/>
      <c r="P4" s="126"/>
      <c r="Q4" s="126"/>
    </row>
    <row r="5" spans="1:17" x14ac:dyDescent="0.25">
      <c r="A5" s="95" t="s">
        <v>289</v>
      </c>
      <c r="B5" s="97" t="str">
        <f>IF(B12="","",B12)</f>
        <v>MAM 1</v>
      </c>
      <c r="C5" s="98" t="s">
        <v>290</v>
      </c>
      <c r="D5" s="101">
        <f>IF(B17="","",B17)</f>
        <v>1234</v>
      </c>
      <c r="E5" s="96" t="s">
        <v>291</v>
      </c>
      <c r="F5" s="450" t="str">
        <f>IF(B25="","",B25)</f>
        <v>01.01.2022</v>
      </c>
      <c r="G5" s="125"/>
      <c r="H5" s="125"/>
      <c r="I5" s="125"/>
      <c r="J5" s="126"/>
      <c r="K5" s="126"/>
      <c r="L5" s="126"/>
      <c r="M5" s="126"/>
      <c r="N5" s="126"/>
      <c r="O5" s="126"/>
      <c r="P5" s="126"/>
      <c r="Q5" s="126"/>
    </row>
    <row r="6" spans="1:17" x14ac:dyDescent="0.25">
      <c r="A6" s="343"/>
      <c r="B6" s="447"/>
      <c r="C6" s="344"/>
      <c r="D6" s="448"/>
      <c r="E6" s="103"/>
      <c r="F6" s="451"/>
      <c r="G6" s="125"/>
      <c r="H6" s="125"/>
      <c r="I6" s="125"/>
      <c r="J6" s="126"/>
      <c r="K6" s="126"/>
      <c r="L6" s="126"/>
      <c r="M6" s="126"/>
      <c r="N6" s="126"/>
      <c r="O6" s="126"/>
      <c r="P6" s="126"/>
      <c r="Q6" s="126"/>
    </row>
    <row r="7" spans="1:17" x14ac:dyDescent="0.25">
      <c r="G7" s="125"/>
      <c r="H7" s="125"/>
      <c r="I7" s="125"/>
      <c r="J7" s="126"/>
      <c r="K7" s="126"/>
      <c r="L7" s="126"/>
      <c r="M7" s="126"/>
      <c r="N7" s="126"/>
      <c r="O7" s="126"/>
      <c r="P7" s="126"/>
      <c r="Q7" s="126"/>
    </row>
    <row r="8" spans="1:17" ht="21" x14ac:dyDescent="0.35">
      <c r="A8" s="116" t="s">
        <v>302</v>
      </c>
      <c r="B8" s="117" t="s">
        <v>301</v>
      </c>
      <c r="C8" s="128"/>
      <c r="D8" s="128"/>
      <c r="E8" s="128"/>
      <c r="F8" s="128"/>
      <c r="G8" s="125"/>
      <c r="H8" s="125"/>
      <c r="I8" s="125"/>
      <c r="J8" s="126"/>
      <c r="K8" s="126"/>
      <c r="L8" s="126"/>
      <c r="M8" s="126"/>
      <c r="N8" s="126"/>
      <c r="O8" s="126"/>
      <c r="P8" s="126"/>
      <c r="Q8" s="126"/>
    </row>
    <row r="9" spans="1:17" x14ac:dyDescent="0.25">
      <c r="A9" s="129" t="s">
        <v>222</v>
      </c>
      <c r="B9" s="745" t="s">
        <v>483</v>
      </c>
      <c r="C9" s="745"/>
      <c r="D9" s="745"/>
      <c r="E9" s="745"/>
      <c r="F9" s="745"/>
    </row>
    <row r="10" spans="1:17" x14ac:dyDescent="0.25">
      <c r="A10" s="129" t="s">
        <v>292</v>
      </c>
      <c r="B10" s="745" t="s">
        <v>484</v>
      </c>
      <c r="C10" s="745"/>
      <c r="D10" s="745"/>
      <c r="E10" s="745"/>
      <c r="F10" s="745"/>
    </row>
    <row r="11" spans="1:17" x14ac:dyDescent="0.25">
      <c r="A11" s="129" t="s">
        <v>293</v>
      </c>
      <c r="B11" s="745" t="s">
        <v>485</v>
      </c>
      <c r="C11" s="745"/>
      <c r="D11" s="745"/>
      <c r="E11" s="745"/>
      <c r="F11" s="745"/>
    </row>
    <row r="12" spans="1:17" x14ac:dyDescent="0.25">
      <c r="A12" s="129" t="s">
        <v>294</v>
      </c>
      <c r="B12" s="745" t="s">
        <v>486</v>
      </c>
      <c r="C12" s="745"/>
      <c r="D12" s="745"/>
      <c r="E12" s="745"/>
      <c r="F12" s="745"/>
    </row>
    <row r="13" spans="1:17" x14ac:dyDescent="0.25">
      <c r="A13" s="130" t="s">
        <v>223</v>
      </c>
      <c r="B13" s="745" t="s">
        <v>501</v>
      </c>
      <c r="C13" s="745"/>
      <c r="D13" s="745"/>
      <c r="E13" s="745"/>
      <c r="F13" s="745"/>
    </row>
    <row r="14" spans="1:17" x14ac:dyDescent="0.25">
      <c r="A14" s="130" t="s">
        <v>224</v>
      </c>
      <c r="B14" s="745" t="s">
        <v>501</v>
      </c>
      <c r="C14" s="745"/>
      <c r="D14" s="745"/>
      <c r="E14" s="745"/>
      <c r="F14" s="745"/>
    </row>
    <row r="15" spans="1:17" x14ac:dyDescent="0.25">
      <c r="A15" s="130" t="s">
        <v>295</v>
      </c>
      <c r="B15" s="745" t="s">
        <v>502</v>
      </c>
      <c r="C15" s="745"/>
      <c r="D15" s="745"/>
      <c r="E15" s="745"/>
      <c r="F15" s="745"/>
    </row>
    <row r="16" spans="1:17" x14ac:dyDescent="0.25">
      <c r="A16" s="130" t="s">
        <v>296</v>
      </c>
      <c r="B16" s="745">
        <v>1234</v>
      </c>
      <c r="C16" s="745"/>
      <c r="D16" s="745"/>
      <c r="E16" s="745"/>
      <c r="F16" s="745"/>
    </row>
    <row r="17" spans="1:6" x14ac:dyDescent="0.25">
      <c r="A17" s="130" t="s">
        <v>297</v>
      </c>
      <c r="B17" s="745">
        <v>1234</v>
      </c>
      <c r="C17" s="745"/>
      <c r="D17" s="745"/>
      <c r="E17" s="745"/>
      <c r="F17" s="745"/>
    </row>
    <row r="18" spans="1:6" x14ac:dyDescent="0.25">
      <c r="A18" s="130" t="s">
        <v>298</v>
      </c>
      <c r="B18" s="745">
        <v>1234</v>
      </c>
      <c r="C18" s="745"/>
      <c r="D18" s="745"/>
      <c r="E18" s="745"/>
      <c r="F18" s="745"/>
    </row>
    <row r="19" spans="1:6" x14ac:dyDescent="0.25">
      <c r="A19" s="130" t="s">
        <v>225</v>
      </c>
      <c r="B19" s="745" t="s">
        <v>503</v>
      </c>
      <c r="C19" s="745"/>
      <c r="D19" s="745"/>
      <c r="E19" s="745"/>
      <c r="F19" s="745"/>
    </row>
    <row r="20" spans="1:6" x14ac:dyDescent="0.25">
      <c r="A20" s="130" t="s">
        <v>226</v>
      </c>
      <c r="B20" s="745" t="s">
        <v>503</v>
      </c>
      <c r="C20" s="745"/>
      <c r="D20" s="745"/>
      <c r="E20" s="745"/>
      <c r="F20" s="745"/>
    </row>
    <row r="21" spans="1:6" x14ac:dyDescent="0.25">
      <c r="A21" s="131"/>
      <c r="B21" s="745"/>
      <c r="C21" s="745"/>
      <c r="D21" s="745"/>
      <c r="E21" s="745"/>
      <c r="F21" s="745"/>
    </row>
    <row r="22" spans="1:6" x14ac:dyDescent="0.25">
      <c r="A22" s="130" t="s">
        <v>227</v>
      </c>
      <c r="B22" s="745" t="s">
        <v>501</v>
      </c>
      <c r="C22" s="745"/>
      <c r="D22" s="745"/>
      <c r="E22" s="745"/>
      <c r="F22" s="745"/>
    </row>
    <row r="23" spans="1:6" x14ac:dyDescent="0.25">
      <c r="A23" s="130" t="s">
        <v>228</v>
      </c>
      <c r="B23" s="745" t="s">
        <v>131</v>
      </c>
      <c r="C23" s="745"/>
      <c r="D23" s="745"/>
      <c r="E23" s="745"/>
      <c r="F23" s="745"/>
    </row>
    <row r="24" spans="1:6" x14ac:dyDescent="0.25">
      <c r="A24" s="130" t="s">
        <v>229</v>
      </c>
      <c r="B24" s="745" t="s">
        <v>503</v>
      </c>
      <c r="C24" s="745"/>
      <c r="D24" s="745"/>
      <c r="E24" s="745"/>
      <c r="F24" s="745"/>
    </row>
    <row r="25" spans="1:6" x14ac:dyDescent="0.25">
      <c r="A25" s="130" t="s">
        <v>230</v>
      </c>
      <c r="B25" s="745" t="s">
        <v>503</v>
      </c>
      <c r="C25" s="745"/>
      <c r="D25" s="745"/>
      <c r="E25" s="745"/>
      <c r="F25" s="745"/>
    </row>
    <row r="26" spans="1:6" x14ac:dyDescent="0.25">
      <c r="A26" s="130" t="s">
        <v>231</v>
      </c>
      <c r="B26" s="745" t="s">
        <v>504</v>
      </c>
      <c r="C26" s="745"/>
      <c r="D26" s="745"/>
      <c r="E26" s="745"/>
      <c r="F26" s="745"/>
    </row>
    <row r="27" spans="1:6" x14ac:dyDescent="0.25">
      <c r="A27" s="130" t="s">
        <v>299</v>
      </c>
      <c r="B27" s="745">
        <v>1234</v>
      </c>
      <c r="C27" s="745"/>
      <c r="D27" s="745"/>
      <c r="E27" s="745"/>
      <c r="F27" s="745"/>
    </row>
    <row r="28" spans="1:6" x14ac:dyDescent="0.25">
      <c r="A28" s="130" t="s">
        <v>232</v>
      </c>
      <c r="B28" s="745">
        <v>1234</v>
      </c>
      <c r="C28" s="745"/>
      <c r="D28" s="745"/>
      <c r="E28" s="745"/>
      <c r="F28" s="745"/>
    </row>
    <row r="29" spans="1:6" x14ac:dyDescent="0.25">
      <c r="A29" s="130"/>
      <c r="B29" s="745"/>
      <c r="C29" s="745"/>
      <c r="D29" s="745"/>
      <c r="E29" s="745"/>
      <c r="F29" s="745"/>
    </row>
    <row r="30" spans="1:6" x14ac:dyDescent="0.25">
      <c r="A30" s="130" t="s">
        <v>300</v>
      </c>
      <c r="B30" s="745"/>
      <c r="C30" s="745"/>
      <c r="D30" s="745"/>
      <c r="E30" s="745"/>
      <c r="F30" s="745"/>
    </row>
    <row r="31" spans="1:6" x14ac:dyDescent="0.25">
      <c r="A31" s="531" t="s">
        <v>336</v>
      </c>
      <c r="B31" s="745"/>
      <c r="C31" s="745"/>
      <c r="D31" s="745"/>
      <c r="E31" s="745"/>
      <c r="F31" s="745"/>
    </row>
    <row r="32" spans="1:6" x14ac:dyDescent="0.25">
      <c r="A32" s="130"/>
      <c r="B32" s="745"/>
      <c r="C32" s="745"/>
      <c r="D32" s="745"/>
      <c r="E32" s="745"/>
      <c r="F32" s="745"/>
    </row>
    <row r="33" spans="1:6" x14ac:dyDescent="0.25">
      <c r="A33" s="130" t="s">
        <v>233</v>
      </c>
      <c r="B33" s="745"/>
      <c r="C33" s="745"/>
      <c r="D33" s="745"/>
      <c r="E33" s="745"/>
      <c r="F33" s="745"/>
    </row>
    <row r="34" spans="1:6" x14ac:dyDescent="0.25">
      <c r="A34" s="483" t="s">
        <v>234</v>
      </c>
      <c r="B34" s="745"/>
      <c r="C34" s="745"/>
      <c r="D34" s="745"/>
      <c r="E34" s="745"/>
      <c r="F34" s="745"/>
    </row>
    <row r="35" spans="1:6" x14ac:dyDescent="0.25">
      <c r="A35" s="130" t="s">
        <v>235</v>
      </c>
      <c r="B35" s="745"/>
      <c r="C35" s="745"/>
      <c r="D35" s="745"/>
      <c r="E35" s="745"/>
      <c r="F35" s="745"/>
    </row>
    <row r="36" spans="1:6" x14ac:dyDescent="0.25">
      <c r="A36" s="483" t="s">
        <v>236</v>
      </c>
      <c r="B36" s="745"/>
      <c r="C36" s="745"/>
      <c r="D36" s="745"/>
      <c r="E36" s="745"/>
      <c r="F36" s="745"/>
    </row>
    <row r="37" spans="1:6" x14ac:dyDescent="0.25">
      <c r="A37" s="524"/>
      <c r="B37" s="744"/>
      <c r="C37" s="744"/>
      <c r="D37" s="744"/>
      <c r="E37" s="744"/>
      <c r="F37" s="744"/>
    </row>
    <row r="38" spans="1:6" x14ac:dyDescent="0.25">
      <c r="A38" s="507"/>
      <c r="B38" s="744"/>
      <c r="C38" s="744"/>
      <c r="D38" s="744"/>
      <c r="E38" s="744"/>
      <c r="F38" s="744"/>
    </row>
    <row r="39" spans="1:6" x14ac:dyDescent="0.25">
      <c r="A39" s="507"/>
      <c r="B39" s="744"/>
      <c r="C39" s="744"/>
      <c r="D39" s="744"/>
      <c r="E39" s="744"/>
      <c r="F39" s="744"/>
    </row>
    <row r="40" spans="1:6" x14ac:dyDescent="0.25">
      <c r="A40" s="507"/>
      <c r="B40" s="744"/>
      <c r="C40" s="744"/>
      <c r="D40" s="744"/>
      <c r="E40" s="744"/>
      <c r="F40" s="744"/>
    </row>
    <row r="41" spans="1:6" x14ac:dyDescent="0.25">
      <c r="A41" s="507"/>
      <c r="B41" s="744"/>
      <c r="C41" s="744"/>
      <c r="D41" s="744"/>
      <c r="E41" s="744"/>
      <c r="F41" s="744"/>
    </row>
    <row r="42" spans="1:6" x14ac:dyDescent="0.25">
      <c r="A42" s="507"/>
      <c r="B42" s="744"/>
      <c r="C42" s="744"/>
      <c r="D42" s="744"/>
      <c r="E42" s="744"/>
      <c r="F42" s="744"/>
    </row>
    <row r="43" spans="1:6" x14ac:dyDescent="0.25">
      <c r="A43" s="507"/>
      <c r="B43" s="744"/>
      <c r="C43" s="744"/>
      <c r="D43" s="744"/>
      <c r="E43" s="744"/>
      <c r="F43" s="744"/>
    </row>
    <row r="44" spans="1:6" x14ac:dyDescent="0.25">
      <c r="A44" s="507"/>
      <c r="B44" s="744"/>
      <c r="C44" s="744"/>
      <c r="D44" s="744"/>
      <c r="E44" s="744"/>
      <c r="F44" s="744"/>
    </row>
    <row r="45" spans="1:6" x14ac:dyDescent="0.25">
      <c r="A45" s="507"/>
      <c r="B45" s="744"/>
      <c r="C45" s="744"/>
      <c r="D45" s="744"/>
      <c r="E45" s="744"/>
      <c r="F45" s="744"/>
    </row>
    <row r="46" spans="1:6" x14ac:dyDescent="0.25">
      <c r="A46" s="132"/>
      <c r="B46" s="132"/>
      <c r="C46" s="132"/>
      <c r="D46" s="132"/>
    </row>
    <row r="47" spans="1:6" x14ac:dyDescent="0.25">
      <c r="A47" s="132"/>
      <c r="B47" s="132"/>
      <c r="C47" s="132"/>
      <c r="D47" s="132"/>
    </row>
  </sheetData>
  <mergeCells count="37">
    <mergeCell ref="B41:F41"/>
    <mergeCell ref="B42:F42"/>
    <mergeCell ref="B43:F43"/>
    <mergeCell ref="B44:F44"/>
    <mergeCell ref="B45:F45"/>
    <mergeCell ref="B30:F30"/>
    <mergeCell ref="B26:F26"/>
    <mergeCell ref="B19:F19"/>
    <mergeCell ref="B20:F20"/>
    <mergeCell ref="B21:F21"/>
    <mergeCell ref="B22:F22"/>
    <mergeCell ref="B23:F23"/>
    <mergeCell ref="B24:F24"/>
    <mergeCell ref="B25:F25"/>
    <mergeCell ref="B27:F27"/>
    <mergeCell ref="B28:F28"/>
    <mergeCell ref="B29:F29"/>
    <mergeCell ref="B14:F14"/>
    <mergeCell ref="B15:F15"/>
    <mergeCell ref="B16:F16"/>
    <mergeCell ref="B17:F17"/>
    <mergeCell ref="B18:F18"/>
    <mergeCell ref="B9:F9"/>
    <mergeCell ref="B10:F10"/>
    <mergeCell ref="B11:F11"/>
    <mergeCell ref="B12:F12"/>
    <mergeCell ref="B13:F13"/>
    <mergeCell ref="B39:F39"/>
    <mergeCell ref="B40:F40"/>
    <mergeCell ref="B31:F31"/>
    <mergeCell ref="B32:F32"/>
    <mergeCell ref="B33:F33"/>
    <mergeCell ref="B34:F34"/>
    <mergeCell ref="B35:F35"/>
    <mergeCell ref="B36:F36"/>
    <mergeCell ref="B37:F37"/>
    <mergeCell ref="B38:F38"/>
  </mergeCells>
  <conditionalFormatting sqref="A37:A45">
    <cfRule type="cellIs" dxfId="114" priority="1" operator="notEqual">
      <formula>""</formula>
    </cfRule>
  </conditionalFormatting>
  <pageMargins left="0.70866141732283472" right="0.70866141732283472" top="0.44" bottom="0.49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Data!$H$76:$H$79</xm:f>
          </x14:formula1>
          <xm:sqref>B23:F23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15" workbookViewId="0">
      <selection activeCell="B43" sqref="B43:G43"/>
    </sheetView>
  </sheetViews>
  <sheetFormatPr defaultColWidth="9.140625" defaultRowHeight="15" x14ac:dyDescent="0.25"/>
  <cols>
    <col min="1" max="1" width="19.28515625" style="94" customWidth="1"/>
    <col min="2" max="6" width="9.140625" style="94"/>
    <col min="7" max="7" width="15.28515625" style="94" customWidth="1"/>
    <col min="8" max="8" width="9.140625" style="94"/>
    <col min="9" max="9" width="9.140625" style="94" customWidth="1"/>
    <col min="10" max="16384" width="9.140625" style="94"/>
  </cols>
  <sheetData>
    <row r="1" spans="1:18" x14ac:dyDescent="0.25">
      <c r="A1" s="89" t="s">
        <v>280</v>
      </c>
      <c r="B1" s="90"/>
      <c r="C1" s="90"/>
      <c r="D1" s="91" t="str">
        <f>IF(Oplysningsside!B9="","",Oplysningsside!B9)</f>
        <v>Region H</v>
      </c>
      <c r="E1" s="90"/>
      <c r="F1" s="90"/>
      <c r="G1" s="92" t="s">
        <v>281</v>
      </c>
      <c r="H1" s="90"/>
      <c r="I1" s="91" t="str">
        <f>IF(Oplysningsside!B23="","",Oplysningsside!B23)</f>
        <v>Modtagekontrol</v>
      </c>
      <c r="J1" s="90"/>
      <c r="K1" s="90"/>
      <c r="L1" s="90"/>
      <c r="M1" s="92" t="s">
        <v>282</v>
      </c>
      <c r="N1" s="90"/>
      <c r="O1" s="91" t="str">
        <f>IF(Oplysningsside!B22="","",Oplysningsside!B22)</f>
        <v>Siemens</v>
      </c>
      <c r="P1" s="90"/>
      <c r="Q1" s="90"/>
      <c r="R1" s="93"/>
    </row>
    <row r="2" spans="1:18" x14ac:dyDescent="0.25">
      <c r="A2" s="95" t="s">
        <v>283</v>
      </c>
      <c r="B2" s="96"/>
      <c r="C2" s="96"/>
      <c r="D2" s="97" t="str">
        <f>IF(Oplysningsside!B10="","",Oplysningsside!B10)</f>
        <v>HGH Gentofte</v>
      </c>
      <c r="E2" s="96"/>
      <c r="F2" s="96"/>
      <c r="G2" s="98" t="s">
        <v>284</v>
      </c>
      <c r="H2" s="96"/>
      <c r="I2" s="97" t="str">
        <f>IF(Oplysningsside!B15="","",Oplysningsside!B15)</f>
        <v>Revelation</v>
      </c>
      <c r="J2" s="96"/>
      <c r="K2" s="96"/>
      <c r="L2" s="96"/>
      <c r="M2" s="98" t="s">
        <v>285</v>
      </c>
      <c r="N2" s="96"/>
      <c r="O2" s="97" t="str">
        <f>IF(Oplysningsside!B24="","",Oplysningsside!B24)</f>
        <v>01.01.2022</v>
      </c>
      <c r="P2" s="96"/>
      <c r="Q2" s="96"/>
      <c r="R2" s="99"/>
    </row>
    <row r="3" spans="1:18" x14ac:dyDescent="0.25">
      <c r="A3" s="100" t="s">
        <v>286</v>
      </c>
      <c r="B3" s="96"/>
      <c r="C3" s="96"/>
      <c r="D3" s="97" t="str">
        <f>IF(Oplysningsside!B11="","",Oplysningsside!B11)</f>
        <v>Gentofte Screening</v>
      </c>
      <c r="E3" s="96"/>
      <c r="F3" s="96"/>
      <c r="G3" s="98" t="s">
        <v>287</v>
      </c>
      <c r="H3" s="96"/>
      <c r="I3" s="101">
        <f>IF(Oplysningsside!B16="","",Oplysningsside!B16)</f>
        <v>1234</v>
      </c>
      <c r="J3" s="96"/>
      <c r="K3" s="96"/>
      <c r="L3" s="96"/>
      <c r="M3" s="98" t="s">
        <v>288</v>
      </c>
      <c r="N3" s="96"/>
      <c r="O3" s="97" t="str">
        <f>IF(Oplysningsside!B26="","",Oplysningsside!B26)</f>
        <v>EA</v>
      </c>
      <c r="P3" s="96"/>
      <c r="Q3" s="96"/>
      <c r="R3" s="99"/>
    </row>
    <row r="4" spans="1:18" x14ac:dyDescent="0.25">
      <c r="A4" s="95" t="s">
        <v>289</v>
      </c>
      <c r="B4" s="96"/>
      <c r="C4" s="96"/>
      <c r="D4" s="97" t="str">
        <f>IF(Oplysningsside!B12="","",Oplysningsside!B12)</f>
        <v>MAM 1</v>
      </c>
      <c r="E4" s="96"/>
      <c r="F4" s="96"/>
      <c r="G4" s="98" t="s">
        <v>290</v>
      </c>
      <c r="H4" s="96"/>
      <c r="I4" s="101">
        <f>IF(Oplysningsside!B17="","",Oplysningsside!B17)</f>
        <v>1234</v>
      </c>
      <c r="J4" s="96"/>
      <c r="K4" s="96"/>
      <c r="L4" s="96"/>
      <c r="M4" s="96" t="s">
        <v>291</v>
      </c>
      <c r="N4" s="96"/>
      <c r="O4" s="97" t="str">
        <f>IF(Oplysningsside!B25="","",Oplysningsside!B25)</f>
        <v>01.01.2022</v>
      </c>
      <c r="P4" s="96"/>
      <c r="Q4" s="96"/>
      <c r="R4" s="99"/>
    </row>
    <row r="5" spans="1:18" x14ac:dyDescent="0.25">
      <c r="A5" s="102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4"/>
    </row>
    <row r="6" spans="1:18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</row>
    <row r="7" spans="1:18" ht="24.75" customHeight="1" x14ac:dyDescent="0.4">
      <c r="A7" s="133" t="s">
        <v>707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6" t="str">
        <f>IF(Oplysningsside!$B$23="","",Oplysningsside!$B$23)</f>
        <v>Modtagekontrol</v>
      </c>
      <c r="P7" s="134"/>
      <c r="Q7" s="135"/>
      <c r="R7" s="136" t="str">
        <f>IF(Oplysningsside!$B$24="","",Oplysningsside!$B$24)</f>
        <v>01.01.2022</v>
      </c>
    </row>
    <row r="8" spans="1:18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</row>
    <row r="9" spans="1:18" ht="18.75" x14ac:dyDescent="0.3">
      <c r="A9" s="106" t="s">
        <v>163</v>
      </c>
      <c r="B9" s="107" t="str">
        <f>'2. Røntgenrør m.m.'!$A$7</f>
        <v>2. Røntgengenerator og røntgenrør - kladde</v>
      </c>
      <c r="C9" s="446"/>
      <c r="D9" s="446"/>
      <c r="E9" s="446"/>
      <c r="F9" s="446"/>
      <c r="G9" s="446"/>
      <c r="H9" s="525" t="s">
        <v>306</v>
      </c>
      <c r="I9" s="108"/>
      <c r="J9" s="109"/>
      <c r="K9" s="109"/>
      <c r="L9" s="109"/>
      <c r="M9" s="109"/>
      <c r="N9" s="109"/>
      <c r="O9" s="109"/>
      <c r="P9" s="109"/>
      <c r="Q9" s="109"/>
      <c r="R9" s="110"/>
    </row>
    <row r="10" spans="1:18" x14ac:dyDescent="0.25">
      <c r="A10" s="707"/>
      <c r="B10" s="111" t="str">
        <f>'2. Røntgenrør m.m.'!A9</f>
        <v>2.1 Højspænding (U)</v>
      </c>
      <c r="C10" s="112"/>
      <c r="D10" s="112"/>
      <c r="E10" s="112"/>
      <c r="F10" s="112"/>
      <c r="G10" s="112"/>
      <c r="H10" s="773"/>
      <c r="I10" s="774"/>
      <c r="J10" s="774"/>
      <c r="K10" s="774"/>
      <c r="L10" s="774"/>
      <c r="M10" s="774"/>
      <c r="N10" s="774"/>
      <c r="O10" s="774"/>
      <c r="P10" s="774"/>
      <c r="Q10" s="774"/>
      <c r="R10" s="775"/>
    </row>
    <row r="11" spans="1:18" x14ac:dyDescent="0.25">
      <c r="A11" s="708"/>
      <c r="B11" s="105" t="str">
        <f>'2. Røntgenrør m.m.'!A40</f>
        <v>2.2 Dosis-reproducérbarhed – valgfri</v>
      </c>
      <c r="C11" s="114"/>
      <c r="D11" s="114"/>
      <c r="E11" s="114"/>
      <c r="F11" s="114"/>
      <c r="G11" s="114"/>
      <c r="H11" s="746"/>
      <c r="I11" s="747"/>
      <c r="J11" s="747"/>
      <c r="K11" s="747"/>
      <c r="L11" s="747"/>
      <c r="M11" s="747"/>
      <c r="N11" s="747"/>
      <c r="O11" s="747"/>
      <c r="P11" s="747"/>
      <c r="Q11" s="747"/>
      <c r="R11" s="748"/>
    </row>
    <row r="12" spans="1:18" x14ac:dyDescent="0.25">
      <c r="A12" s="708"/>
      <c r="B12" s="105" t="str">
        <f>'2. Røntgenrør m.m.'!A63</f>
        <v>2.3 Linearitet af dosis-mAs-produkt</v>
      </c>
      <c r="C12" s="114"/>
      <c r="D12" s="114"/>
      <c r="E12" s="114"/>
      <c r="F12" s="114"/>
      <c r="G12" s="114"/>
      <c r="H12" s="746"/>
      <c r="I12" s="747"/>
      <c r="J12" s="747"/>
      <c r="K12" s="747"/>
      <c r="L12" s="747"/>
      <c r="M12" s="747"/>
      <c r="N12" s="747"/>
      <c r="O12" s="747"/>
      <c r="P12" s="747"/>
      <c r="Q12" s="747"/>
      <c r="R12" s="748"/>
    </row>
    <row r="13" spans="1:18" x14ac:dyDescent="0.25">
      <c r="A13" s="708"/>
      <c r="B13" s="105" t="str">
        <f>'2. Røntgenrør m.m.'!A91</f>
        <v>2.4 Dosis Output - valgfri</v>
      </c>
      <c r="C13" s="114"/>
      <c r="D13" s="114"/>
      <c r="E13" s="114"/>
      <c r="F13" s="114"/>
      <c r="G13" s="114"/>
      <c r="H13" s="746"/>
      <c r="I13" s="747"/>
      <c r="J13" s="747"/>
      <c r="K13" s="747"/>
      <c r="L13" s="747"/>
      <c r="M13" s="747"/>
      <c r="N13" s="747"/>
      <c r="O13" s="747"/>
      <c r="P13" s="747"/>
      <c r="Q13" s="747"/>
      <c r="R13" s="748"/>
    </row>
    <row r="14" spans="1:18" x14ac:dyDescent="0.25">
      <c r="A14" s="708"/>
      <c r="B14" s="114" t="str">
        <f>'2. Røntgenrør m.m.'!A145</f>
        <v xml:space="preserve">2.5 Eksponeringstid  </v>
      </c>
      <c r="C14" s="114"/>
      <c r="D14" s="114"/>
      <c r="E14" s="114"/>
      <c r="F14" s="114"/>
      <c r="G14" s="114"/>
      <c r="H14" s="746"/>
      <c r="I14" s="747"/>
      <c r="J14" s="747"/>
      <c r="K14" s="747"/>
      <c r="L14" s="747"/>
      <c r="M14" s="747"/>
      <c r="N14" s="747"/>
      <c r="O14" s="747"/>
      <c r="P14" s="747"/>
      <c r="Q14" s="747"/>
      <c r="R14" s="748"/>
    </row>
    <row r="15" spans="1:18" x14ac:dyDescent="0.25">
      <c r="A15" s="708"/>
      <c r="B15" s="114" t="str">
        <f>'2. Røntgenrør m.m.'!A168</f>
        <v>2.6 Halvværdilag (HVL)</v>
      </c>
      <c r="C15" s="114"/>
      <c r="D15" s="114"/>
      <c r="E15" s="114"/>
      <c r="F15" s="114"/>
      <c r="G15" s="114"/>
      <c r="H15" s="746"/>
      <c r="I15" s="747"/>
      <c r="J15" s="747"/>
      <c r="K15" s="747"/>
      <c r="L15" s="747"/>
      <c r="M15" s="747"/>
      <c r="N15" s="747"/>
      <c r="O15" s="747"/>
      <c r="P15" s="747"/>
      <c r="Q15" s="747"/>
      <c r="R15" s="748"/>
    </row>
    <row r="16" spans="1:18" x14ac:dyDescent="0.25">
      <c r="A16" s="679"/>
      <c r="B16" s="115" t="str">
        <f>'2. Røntgenrør m.m.'!A205</f>
        <v>2.7 Rasterfaktor</v>
      </c>
      <c r="C16" s="115"/>
      <c r="D16" s="115"/>
      <c r="E16" s="115"/>
      <c r="F16" s="115"/>
      <c r="G16" s="115"/>
      <c r="H16" s="749"/>
      <c r="I16" s="750"/>
      <c r="J16" s="750"/>
      <c r="K16" s="750"/>
      <c r="L16" s="750"/>
      <c r="M16" s="750"/>
      <c r="N16" s="750"/>
      <c r="O16" s="750"/>
      <c r="P16" s="750"/>
      <c r="Q16" s="750"/>
      <c r="R16" s="751"/>
    </row>
    <row r="17" spans="1:18" ht="18.75" x14ac:dyDescent="0.3">
      <c r="A17" s="106" t="s">
        <v>163</v>
      </c>
      <c r="B17" s="116" t="str">
        <f>'3. Lys- og røntgenfelt'!A7</f>
        <v>3.3. Lysfelt, røntgenfelt, detektorfelt - kladde</v>
      </c>
      <c r="C17" s="117"/>
      <c r="D17" s="117"/>
      <c r="E17" s="117"/>
      <c r="F17" s="117"/>
      <c r="G17" s="117"/>
      <c r="H17" s="758" t="s">
        <v>306</v>
      </c>
      <c r="I17" s="759"/>
      <c r="J17" s="759"/>
      <c r="K17" s="759"/>
      <c r="L17" s="759"/>
      <c r="M17" s="759"/>
      <c r="N17" s="759"/>
      <c r="O17" s="759"/>
      <c r="P17" s="759"/>
      <c r="Q17" s="759"/>
      <c r="R17" s="760"/>
    </row>
    <row r="18" spans="1:18" x14ac:dyDescent="0.25">
      <c r="A18" s="707"/>
      <c r="B18" s="119" t="str">
        <f>'3. Lys- og røntgenfelt'!A9</f>
        <v xml:space="preserve">3.1 Geometrisk korrektionsfaktor </v>
      </c>
      <c r="C18" s="119"/>
      <c r="D18" s="119"/>
      <c r="E18" s="119"/>
      <c r="F18" s="119"/>
      <c r="G18" s="119"/>
      <c r="H18" s="767"/>
      <c r="I18" s="768"/>
      <c r="J18" s="768"/>
      <c r="K18" s="768"/>
      <c r="L18" s="768"/>
      <c r="M18" s="768"/>
      <c r="N18" s="768"/>
      <c r="O18" s="768"/>
      <c r="P18" s="768"/>
      <c r="Q18" s="768"/>
      <c r="R18" s="769"/>
    </row>
    <row r="19" spans="1:18" ht="15" customHeight="1" x14ac:dyDescent="0.25">
      <c r="A19" s="708"/>
      <c r="B19" s="120" t="str">
        <f>'3. Lys- og røntgenfelt'!A30</f>
        <v>3.2 Kontrol af lysfelt/røntgenfelt</v>
      </c>
      <c r="C19" s="120"/>
      <c r="D19" s="120"/>
      <c r="E19" s="120"/>
      <c r="F19" s="120"/>
      <c r="G19" s="120"/>
      <c r="H19" s="770"/>
      <c r="I19" s="771"/>
      <c r="J19" s="771"/>
      <c r="K19" s="771"/>
      <c r="L19" s="771"/>
      <c r="M19" s="771"/>
      <c r="N19" s="771"/>
      <c r="O19" s="771"/>
      <c r="P19" s="771"/>
      <c r="Q19" s="771"/>
      <c r="R19" s="772"/>
    </row>
    <row r="20" spans="1:18" x14ac:dyDescent="0.25">
      <c r="A20" s="708"/>
      <c r="B20" s="122" t="str">
        <f>'3. Lys- og røntgenfelt'!A58</f>
        <v>3.3. Kontrol af røntgenfelt og DR-detektor mod thoraxkant</v>
      </c>
      <c r="C20" s="122"/>
      <c r="D20" s="122"/>
      <c r="E20" s="122"/>
      <c r="F20" s="122"/>
      <c r="G20" s="122"/>
      <c r="H20" s="764"/>
      <c r="I20" s="765"/>
      <c r="J20" s="765"/>
      <c r="K20" s="765"/>
      <c r="L20" s="765"/>
      <c r="M20" s="765"/>
      <c r="N20" s="765"/>
      <c r="O20" s="765"/>
      <c r="P20" s="765"/>
      <c r="Q20" s="765"/>
      <c r="R20" s="766"/>
    </row>
    <row r="21" spans="1:18" ht="18.75" x14ac:dyDescent="0.3">
      <c r="A21" s="106" t="s">
        <v>163</v>
      </c>
      <c r="B21" s="116" t="str">
        <f>'4. DR-detektor'!A7</f>
        <v>4. DR-detektor og billedkvalitet  - kladde</v>
      </c>
      <c r="C21" s="117"/>
      <c r="D21" s="117"/>
      <c r="E21" s="117"/>
      <c r="F21" s="117"/>
      <c r="G21" s="117"/>
      <c r="H21" s="758" t="s">
        <v>306</v>
      </c>
      <c r="I21" s="759"/>
      <c r="J21" s="759"/>
      <c r="K21" s="759"/>
      <c r="L21" s="759"/>
      <c r="M21" s="759"/>
      <c r="N21" s="759"/>
      <c r="O21" s="759"/>
      <c r="P21" s="759"/>
      <c r="Q21" s="759"/>
      <c r="R21" s="760"/>
    </row>
    <row r="22" spans="1:18" x14ac:dyDescent="0.25">
      <c r="A22" s="707"/>
      <c r="B22" s="119" t="s">
        <v>303</v>
      </c>
      <c r="C22" s="119"/>
      <c r="D22" s="119"/>
      <c r="E22" s="119"/>
      <c r="F22" s="119"/>
      <c r="G22" s="119"/>
      <c r="H22" s="767"/>
      <c r="I22" s="768"/>
      <c r="J22" s="768"/>
      <c r="K22" s="768"/>
      <c r="L22" s="768"/>
      <c r="M22" s="768"/>
      <c r="N22" s="768"/>
      <c r="O22" s="768"/>
      <c r="P22" s="768"/>
      <c r="Q22" s="768"/>
      <c r="R22" s="769"/>
    </row>
    <row r="23" spans="1:18" x14ac:dyDescent="0.25">
      <c r="A23" s="708"/>
      <c r="B23" s="120" t="s">
        <v>256</v>
      </c>
      <c r="C23" s="120"/>
      <c r="D23" s="120"/>
      <c r="E23" s="120"/>
      <c r="F23" s="120"/>
      <c r="G23" s="120"/>
      <c r="H23" s="770"/>
      <c r="I23" s="771"/>
      <c r="J23" s="771"/>
      <c r="K23" s="771"/>
      <c r="L23" s="771"/>
      <c r="M23" s="771"/>
      <c r="N23" s="771"/>
      <c r="O23" s="771"/>
      <c r="P23" s="771"/>
      <c r="Q23" s="771"/>
      <c r="R23" s="772"/>
    </row>
    <row r="24" spans="1:18" x14ac:dyDescent="0.25">
      <c r="A24" s="708"/>
      <c r="B24" s="120" t="s">
        <v>305</v>
      </c>
      <c r="C24" s="120"/>
      <c r="D24" s="120"/>
      <c r="E24" s="120"/>
      <c r="F24" s="120"/>
      <c r="G24" s="120"/>
      <c r="H24" s="770"/>
      <c r="I24" s="771"/>
      <c r="J24" s="771"/>
      <c r="K24" s="771"/>
      <c r="L24" s="771"/>
      <c r="M24" s="771"/>
      <c r="N24" s="771"/>
      <c r="O24" s="771"/>
      <c r="P24" s="771"/>
      <c r="Q24" s="771"/>
      <c r="R24" s="772"/>
    </row>
    <row r="25" spans="1:18" x14ac:dyDescent="0.25">
      <c r="A25" s="708"/>
      <c r="B25" s="120" t="s">
        <v>304</v>
      </c>
      <c r="C25" s="120"/>
      <c r="D25" s="120"/>
      <c r="E25" s="120"/>
      <c r="F25" s="120"/>
      <c r="G25" s="120"/>
      <c r="H25" s="770"/>
      <c r="I25" s="771"/>
      <c r="J25" s="771"/>
      <c r="K25" s="771"/>
      <c r="L25" s="771"/>
      <c r="M25" s="771"/>
      <c r="N25" s="771"/>
      <c r="O25" s="771"/>
      <c r="P25" s="771"/>
      <c r="Q25" s="771"/>
      <c r="R25" s="772"/>
    </row>
    <row r="26" spans="1:18" x14ac:dyDescent="0.25">
      <c r="A26" s="708"/>
      <c r="B26" s="120" t="s">
        <v>341</v>
      </c>
      <c r="C26" s="120"/>
      <c r="D26" s="120"/>
      <c r="E26" s="120"/>
      <c r="F26" s="120"/>
      <c r="G26" s="120"/>
      <c r="H26" s="770"/>
      <c r="I26" s="771"/>
      <c r="J26" s="771"/>
      <c r="K26" s="771"/>
      <c r="L26" s="771"/>
      <c r="M26" s="771"/>
      <c r="N26" s="771"/>
      <c r="O26" s="771"/>
      <c r="P26" s="771"/>
      <c r="Q26" s="771"/>
      <c r="R26" s="772"/>
    </row>
    <row r="27" spans="1:18" x14ac:dyDescent="0.25">
      <c r="A27" s="708"/>
      <c r="B27" s="120" t="s">
        <v>257</v>
      </c>
      <c r="C27" s="120"/>
      <c r="D27" s="120"/>
      <c r="E27" s="120"/>
      <c r="F27" s="120"/>
      <c r="G27" s="120"/>
      <c r="H27" s="770"/>
      <c r="I27" s="771"/>
      <c r="J27" s="771"/>
      <c r="K27" s="771"/>
      <c r="L27" s="771"/>
      <c r="M27" s="771"/>
      <c r="N27" s="771"/>
      <c r="O27" s="771"/>
      <c r="P27" s="771"/>
      <c r="Q27" s="771"/>
      <c r="R27" s="772"/>
    </row>
    <row r="28" spans="1:18" x14ac:dyDescent="0.25">
      <c r="A28" s="679"/>
      <c r="B28" s="122" t="str">
        <f>'4. DR-detektor'!A192</f>
        <v xml:space="preserve">4.6 Spøgelsesbilleder </v>
      </c>
      <c r="C28" s="122"/>
      <c r="D28" s="122"/>
      <c r="E28" s="122"/>
      <c r="F28" s="122"/>
      <c r="G28" s="122"/>
      <c r="H28" s="764"/>
      <c r="I28" s="765"/>
      <c r="J28" s="765"/>
      <c r="K28" s="765"/>
      <c r="L28" s="765"/>
      <c r="M28" s="765"/>
      <c r="N28" s="765"/>
      <c r="O28" s="765"/>
      <c r="P28" s="765"/>
      <c r="Q28" s="765"/>
      <c r="R28" s="766"/>
    </row>
    <row r="29" spans="1:18" ht="18.75" x14ac:dyDescent="0.3">
      <c r="A29" s="106" t="s">
        <v>163</v>
      </c>
      <c r="B29" s="116" t="str">
        <f>'5. Automatik (AEC)'!A7</f>
        <v>5. 5. Eksponeringsautomatik (AEC) - kladde</v>
      </c>
      <c r="C29" s="117"/>
      <c r="D29" s="117"/>
      <c r="E29" s="117"/>
      <c r="F29" s="117"/>
      <c r="G29" s="117"/>
      <c r="H29" s="758" t="s">
        <v>306</v>
      </c>
      <c r="I29" s="759"/>
      <c r="J29" s="759"/>
      <c r="K29" s="759"/>
      <c r="L29" s="759"/>
      <c r="M29" s="759"/>
      <c r="N29" s="759"/>
      <c r="O29" s="759"/>
      <c r="P29" s="759"/>
      <c r="Q29" s="759"/>
      <c r="R29" s="760"/>
    </row>
    <row r="30" spans="1:18" x14ac:dyDescent="0.25">
      <c r="A30" s="707"/>
      <c r="B30" s="119" t="str">
        <f>'5. Automatik (AEC)'!A9</f>
        <v>5.1 Korrektion for vævsdensiteten</v>
      </c>
      <c r="C30" s="119"/>
      <c r="D30" s="119"/>
      <c r="E30" s="119"/>
      <c r="F30" s="119"/>
      <c r="G30" s="119"/>
      <c r="H30" s="767"/>
      <c r="I30" s="768"/>
      <c r="J30" s="768"/>
      <c r="K30" s="768"/>
      <c r="L30" s="768"/>
      <c r="M30" s="768"/>
      <c r="N30" s="768"/>
      <c r="O30" s="768"/>
      <c r="P30" s="768"/>
      <c r="Q30" s="768"/>
      <c r="R30" s="769"/>
    </row>
    <row r="31" spans="1:18" x14ac:dyDescent="0.25">
      <c r="A31" s="708"/>
      <c r="B31" s="120" t="str">
        <f>'5. Automatik (AEC)'!A46</f>
        <v>5.2. Middeldosis til kirtelvævet (AGD)</v>
      </c>
      <c r="C31" s="120"/>
      <c r="D31" s="120"/>
      <c r="E31" s="120"/>
      <c r="F31" s="120"/>
      <c r="G31" s="120"/>
      <c r="H31" s="770"/>
      <c r="I31" s="771"/>
      <c r="J31" s="771"/>
      <c r="K31" s="771"/>
      <c r="L31" s="771"/>
      <c r="M31" s="771"/>
      <c r="N31" s="771"/>
      <c r="O31" s="771"/>
      <c r="P31" s="771"/>
      <c r="Q31" s="771"/>
      <c r="R31" s="772"/>
    </row>
    <row r="32" spans="1:18" x14ac:dyDescent="0.25">
      <c r="A32" s="708"/>
      <c r="B32" s="120" t="str">
        <f>'5. Automatik (AEC)'!A101</f>
        <v>5.3 Kontrol af apparatets AGD- og ESD-værdi</v>
      </c>
      <c r="C32" s="120"/>
      <c r="D32" s="120"/>
      <c r="E32" s="120"/>
      <c r="F32" s="120"/>
      <c r="G32" s="120"/>
      <c r="H32" s="770"/>
      <c r="I32" s="771"/>
      <c r="J32" s="771"/>
      <c r="K32" s="771"/>
      <c r="L32" s="771"/>
      <c r="M32" s="771"/>
      <c r="N32" s="771"/>
      <c r="O32" s="771"/>
      <c r="P32" s="771"/>
      <c r="Q32" s="771"/>
      <c r="R32" s="772"/>
    </row>
    <row r="33" spans="1:18" x14ac:dyDescent="0.25">
      <c r="A33" s="708"/>
      <c r="B33" s="122" t="str">
        <f>'5. Automatik (AEC)'!A128</f>
        <v>5.4 Sikkerhedsafbryder</v>
      </c>
      <c r="C33" s="122"/>
      <c r="D33" s="122"/>
      <c r="E33" s="122"/>
      <c r="F33" s="122"/>
      <c r="G33" s="122"/>
      <c r="H33" s="764"/>
      <c r="I33" s="765"/>
      <c r="J33" s="765"/>
      <c r="K33" s="765"/>
      <c r="L33" s="765"/>
      <c r="M33" s="765"/>
      <c r="N33" s="765"/>
      <c r="O33" s="765"/>
      <c r="P33" s="765"/>
      <c r="Q33" s="765"/>
      <c r="R33" s="766"/>
    </row>
    <row r="34" spans="1:18" ht="18.75" x14ac:dyDescent="0.3">
      <c r="A34" s="106" t="s">
        <v>163</v>
      </c>
      <c r="B34" s="116" t="str">
        <f>'6. Mekanisk kontrol'!A7</f>
        <v>6. Mekaniske kontroller og eftersyn - kladde</v>
      </c>
      <c r="C34" s="117"/>
      <c r="D34" s="117"/>
      <c r="E34" s="117"/>
      <c r="F34" s="117"/>
      <c r="G34" s="117"/>
      <c r="H34" s="758" t="s">
        <v>306</v>
      </c>
      <c r="I34" s="759"/>
      <c r="J34" s="759"/>
      <c r="K34" s="759"/>
      <c r="L34" s="759"/>
      <c r="M34" s="759"/>
      <c r="N34" s="759"/>
      <c r="O34" s="759"/>
      <c r="P34" s="759"/>
      <c r="Q34" s="759"/>
      <c r="R34" s="760"/>
    </row>
    <row r="35" spans="1:18" x14ac:dyDescent="0.25">
      <c r="A35" s="707"/>
      <c r="B35" s="119" t="str">
        <f>'6. Mekanisk kontrol'!$A$9</f>
        <v xml:space="preserve">6.1 Skævhed i kompressionsplade </v>
      </c>
      <c r="C35" s="119"/>
      <c r="D35" s="119"/>
      <c r="E35" s="119"/>
      <c r="F35" s="119"/>
      <c r="G35" s="119"/>
      <c r="H35" s="767"/>
      <c r="I35" s="768"/>
      <c r="J35" s="768"/>
      <c r="K35" s="768"/>
      <c r="L35" s="768"/>
      <c r="M35" s="768"/>
      <c r="N35" s="768"/>
      <c r="O35" s="768"/>
      <c r="P35" s="768"/>
      <c r="Q35" s="768"/>
      <c r="R35" s="769"/>
    </row>
    <row r="36" spans="1:18" x14ac:dyDescent="0.25">
      <c r="A36" s="708"/>
      <c r="B36" s="120" t="str">
        <f>'6. Mekanisk kontrol'!A34</f>
        <v xml:space="preserve">6.2 Kompressionskraft </v>
      </c>
      <c r="C36" s="120"/>
      <c r="D36" s="120"/>
      <c r="E36" s="120"/>
      <c r="F36" s="120"/>
      <c r="G36" s="120"/>
      <c r="H36" s="770"/>
      <c r="I36" s="771"/>
      <c r="J36" s="771"/>
      <c r="K36" s="771"/>
      <c r="L36" s="771"/>
      <c r="M36" s="771"/>
      <c r="N36" s="771"/>
      <c r="O36" s="771"/>
      <c r="P36" s="771"/>
      <c r="Q36" s="771"/>
      <c r="R36" s="772"/>
    </row>
    <row r="37" spans="1:18" x14ac:dyDescent="0.25">
      <c r="A37" s="708"/>
      <c r="B37" s="120" t="str">
        <f>'6. Mekanisk kontrol'!A63</f>
        <v>6.3 Korrekt angivelse af kompressionstykkelse</v>
      </c>
      <c r="C37" s="120"/>
      <c r="D37" s="120"/>
      <c r="E37" s="120"/>
      <c r="F37" s="120"/>
      <c r="G37" s="120"/>
      <c r="H37" s="770"/>
      <c r="I37" s="771"/>
      <c r="J37" s="771"/>
      <c r="K37" s="771"/>
      <c r="L37" s="771"/>
      <c r="M37" s="771"/>
      <c r="N37" s="771"/>
      <c r="O37" s="771"/>
      <c r="P37" s="771"/>
      <c r="Q37" s="771"/>
      <c r="R37" s="772"/>
    </row>
    <row r="38" spans="1:18" x14ac:dyDescent="0.25">
      <c r="A38" s="708"/>
      <c r="B38" s="120" t="str">
        <f>'6. Mekanisk kontrol'!A87</f>
        <v>6.4 Eftersyn</v>
      </c>
      <c r="C38" s="120"/>
      <c r="D38" s="120"/>
      <c r="E38" s="120"/>
      <c r="F38" s="120"/>
      <c r="G38" s="120"/>
      <c r="H38" s="764"/>
      <c r="I38" s="765"/>
      <c r="J38" s="765"/>
      <c r="K38" s="765"/>
      <c r="L38" s="765"/>
      <c r="M38" s="765"/>
      <c r="N38" s="765"/>
      <c r="O38" s="765"/>
      <c r="P38" s="765"/>
      <c r="Q38" s="765"/>
      <c r="R38" s="766"/>
    </row>
    <row r="39" spans="1:18" ht="18.75" x14ac:dyDescent="0.3">
      <c r="A39" s="106" t="s">
        <v>279</v>
      </c>
      <c r="B39" s="107" t="str">
        <f>'7. Referencedosimetri'!A6</f>
        <v>7. Referencedosimetri, DRL - kladde</v>
      </c>
      <c r="C39" s="471"/>
      <c r="D39" s="471"/>
      <c r="E39" s="471"/>
      <c r="F39" s="471"/>
      <c r="G39" s="471"/>
      <c r="H39" s="758" t="s">
        <v>306</v>
      </c>
      <c r="I39" s="759"/>
      <c r="J39" s="759"/>
      <c r="K39" s="759"/>
      <c r="L39" s="759"/>
      <c r="M39" s="759"/>
      <c r="N39" s="759"/>
      <c r="O39" s="759"/>
      <c r="P39" s="759"/>
      <c r="Q39" s="759"/>
      <c r="R39" s="760"/>
    </row>
    <row r="40" spans="1:18" x14ac:dyDescent="0.25">
      <c r="A40" s="707"/>
      <c r="B40" s="445" t="str">
        <f>'7. Referencedosimetri'!A8</f>
        <v>7. Indberetning af AGD- og SDNR-værdier for måling på PMMA</v>
      </c>
      <c r="C40" s="125"/>
      <c r="D40" s="125"/>
      <c r="E40" s="125"/>
      <c r="F40" s="125"/>
      <c r="G40" s="125"/>
      <c r="H40" s="761"/>
      <c r="I40" s="762"/>
      <c r="J40" s="762"/>
      <c r="K40" s="762"/>
      <c r="L40" s="762"/>
      <c r="M40" s="762"/>
      <c r="N40" s="762"/>
      <c r="O40" s="762"/>
      <c r="P40" s="762"/>
      <c r="Q40" s="762"/>
      <c r="R40" s="763"/>
    </row>
    <row r="41" spans="1:18" ht="18.75" x14ac:dyDescent="0.3">
      <c r="A41" s="106"/>
      <c r="B41" s="107" t="s">
        <v>164</v>
      </c>
      <c r="C41" s="471"/>
      <c r="D41" s="471"/>
      <c r="E41" s="471"/>
      <c r="F41" s="471"/>
      <c r="G41" s="471"/>
      <c r="H41" s="758" t="s">
        <v>306</v>
      </c>
      <c r="I41" s="759"/>
      <c r="J41" s="759"/>
      <c r="K41" s="759"/>
      <c r="L41" s="759"/>
      <c r="M41" s="759"/>
      <c r="N41" s="759"/>
      <c r="O41" s="759"/>
      <c r="P41" s="759"/>
      <c r="Q41" s="759"/>
      <c r="R41" s="760"/>
    </row>
    <row r="42" spans="1:18" x14ac:dyDescent="0.25">
      <c r="A42" s="707"/>
      <c r="B42" s="752"/>
      <c r="C42" s="753"/>
      <c r="D42" s="753"/>
      <c r="E42" s="753"/>
      <c r="F42" s="753"/>
      <c r="G42" s="754"/>
      <c r="H42" s="752"/>
      <c r="I42" s="753"/>
      <c r="J42" s="753"/>
      <c r="K42" s="753"/>
      <c r="L42" s="753"/>
      <c r="M42" s="753"/>
      <c r="N42" s="753"/>
      <c r="O42" s="753"/>
      <c r="P42" s="753"/>
      <c r="Q42" s="753"/>
      <c r="R42" s="754"/>
    </row>
    <row r="43" spans="1:18" x14ac:dyDescent="0.25">
      <c r="A43" s="708"/>
      <c r="B43" s="755"/>
      <c r="C43" s="756"/>
      <c r="D43" s="756"/>
      <c r="E43" s="756"/>
      <c r="F43" s="756"/>
      <c r="G43" s="757"/>
      <c r="H43" s="755"/>
      <c r="I43" s="756"/>
      <c r="J43" s="756"/>
      <c r="K43" s="756"/>
      <c r="L43" s="756"/>
      <c r="M43" s="756"/>
      <c r="N43" s="756"/>
      <c r="O43" s="756"/>
      <c r="P43" s="756"/>
      <c r="Q43" s="756"/>
      <c r="R43" s="757"/>
    </row>
    <row r="44" spans="1:18" x14ac:dyDescent="0.25">
      <c r="A44" s="708"/>
      <c r="B44" s="746"/>
      <c r="C44" s="747"/>
      <c r="D44" s="747"/>
      <c r="E44" s="747"/>
      <c r="F44" s="747"/>
      <c r="G44" s="748"/>
      <c r="H44" s="746"/>
      <c r="I44" s="747"/>
      <c r="J44" s="747"/>
      <c r="K44" s="747"/>
      <c r="L44" s="747"/>
      <c r="M44" s="747"/>
      <c r="N44" s="747"/>
      <c r="O44" s="747"/>
      <c r="P44" s="747"/>
      <c r="Q44" s="747"/>
      <c r="R44" s="748"/>
    </row>
    <row r="45" spans="1:18" x14ac:dyDescent="0.25">
      <c r="A45" s="708"/>
      <c r="B45" s="746"/>
      <c r="C45" s="747"/>
      <c r="D45" s="747"/>
      <c r="E45" s="747"/>
      <c r="F45" s="747"/>
      <c r="G45" s="748"/>
      <c r="H45" s="746"/>
      <c r="I45" s="747"/>
      <c r="J45" s="747"/>
      <c r="K45" s="747"/>
      <c r="L45" s="747"/>
      <c r="M45" s="747"/>
      <c r="N45" s="747"/>
      <c r="O45" s="747"/>
      <c r="P45" s="747"/>
      <c r="Q45" s="747"/>
      <c r="R45" s="748"/>
    </row>
    <row r="46" spans="1:18" x14ac:dyDescent="0.25">
      <c r="A46" s="708"/>
      <c r="B46" s="746"/>
      <c r="C46" s="747"/>
      <c r="D46" s="747"/>
      <c r="E46" s="747"/>
      <c r="F46" s="747"/>
      <c r="G46" s="748"/>
      <c r="H46" s="746"/>
      <c r="I46" s="747"/>
      <c r="J46" s="747"/>
      <c r="K46" s="747"/>
      <c r="L46" s="747"/>
      <c r="M46" s="747"/>
      <c r="N46" s="747"/>
      <c r="O46" s="747"/>
      <c r="P46" s="747"/>
      <c r="Q46" s="747"/>
      <c r="R46" s="748"/>
    </row>
    <row r="47" spans="1:18" x14ac:dyDescent="0.25">
      <c r="A47" s="679"/>
      <c r="B47" s="749"/>
      <c r="C47" s="750"/>
      <c r="D47" s="750"/>
      <c r="E47" s="750"/>
      <c r="F47" s="750"/>
      <c r="G47" s="751"/>
      <c r="H47" s="749"/>
      <c r="I47" s="750"/>
      <c r="J47" s="750"/>
      <c r="K47" s="750"/>
      <c r="L47" s="750"/>
      <c r="M47" s="750"/>
      <c r="N47" s="750"/>
      <c r="O47" s="750"/>
      <c r="P47" s="750"/>
      <c r="Q47" s="750"/>
      <c r="R47" s="751"/>
    </row>
  </sheetData>
  <mergeCells count="44">
    <mergeCell ref="H15:R15"/>
    <mergeCell ref="H10:R10"/>
    <mergeCell ref="H11:R11"/>
    <mergeCell ref="H12:R12"/>
    <mergeCell ref="H13:R13"/>
    <mergeCell ref="H14:R14"/>
    <mergeCell ref="H27:R27"/>
    <mergeCell ref="H16:R16"/>
    <mergeCell ref="H17:R17"/>
    <mergeCell ref="H18:R18"/>
    <mergeCell ref="H19:R19"/>
    <mergeCell ref="H20:R20"/>
    <mergeCell ref="H21:R21"/>
    <mergeCell ref="H22:R22"/>
    <mergeCell ref="H23:R23"/>
    <mergeCell ref="H24:R24"/>
    <mergeCell ref="H25:R25"/>
    <mergeCell ref="H26:R26"/>
    <mergeCell ref="H38:R38"/>
    <mergeCell ref="H28:R28"/>
    <mergeCell ref="H29:R29"/>
    <mergeCell ref="H30:R30"/>
    <mergeCell ref="H31:R31"/>
    <mergeCell ref="H32:R32"/>
    <mergeCell ref="H33:R33"/>
    <mergeCell ref="H34:R34"/>
    <mergeCell ref="H35:R35"/>
    <mergeCell ref="H36:R36"/>
    <mergeCell ref="H37:R37"/>
    <mergeCell ref="H39:R39"/>
    <mergeCell ref="H40:R40"/>
    <mergeCell ref="H41:R41"/>
    <mergeCell ref="H42:R42"/>
    <mergeCell ref="H43:R43"/>
    <mergeCell ref="H45:R45"/>
    <mergeCell ref="H46:R46"/>
    <mergeCell ref="H47:R47"/>
    <mergeCell ref="B42:G42"/>
    <mergeCell ref="B43:G43"/>
    <mergeCell ref="B44:G44"/>
    <mergeCell ref="B45:G45"/>
    <mergeCell ref="B46:G46"/>
    <mergeCell ref="B47:G47"/>
    <mergeCell ref="H44:R44"/>
  </mergeCells>
  <conditionalFormatting sqref="S10">
    <cfRule type="iconSet" priority="32">
      <iconSet iconSet="3Symbols2">
        <cfvo type="percent" val="0"/>
        <cfvo type="percent" val="33"/>
        <cfvo type="percent" val="67"/>
      </iconSet>
    </cfRule>
  </conditionalFormatting>
  <conditionalFormatting sqref="A10 A35:A38">
    <cfRule type="cellIs" dxfId="113" priority="30" operator="equal">
      <formula>"IKKE OK"</formula>
    </cfRule>
    <cfRule type="cellIs" dxfId="112" priority="31" operator="equal">
      <formula>"OK"</formula>
    </cfRule>
  </conditionalFormatting>
  <conditionalFormatting sqref="A18:A20">
    <cfRule type="cellIs" dxfId="111" priority="26" operator="equal">
      <formula>"Ikke OK"</formula>
    </cfRule>
    <cfRule type="cellIs" dxfId="110" priority="27" operator="equal">
      <formula>"OK"</formula>
    </cfRule>
  </conditionalFormatting>
  <conditionalFormatting sqref="A30:A33">
    <cfRule type="cellIs" dxfId="109" priority="22" operator="equal">
      <formula>"IKKE OK"</formula>
    </cfRule>
    <cfRule type="cellIs" dxfId="108" priority="23" operator="equal">
      <formula>"OK"</formula>
    </cfRule>
  </conditionalFormatting>
  <conditionalFormatting sqref="B42:G47">
    <cfRule type="cellIs" dxfId="107" priority="15" operator="notEqual">
      <formula>""</formula>
    </cfRule>
  </conditionalFormatting>
  <conditionalFormatting sqref="A10">
    <cfRule type="cellIs" dxfId="106" priority="13" operator="equal">
      <formula>"RÅDFØR MED MFE"</formula>
    </cfRule>
    <cfRule type="cellIs" dxfId="105" priority="14" operator="equal">
      <formula>"MANGLER"</formula>
    </cfRule>
  </conditionalFormatting>
  <conditionalFormatting sqref="A11:A16">
    <cfRule type="cellIs" dxfId="104" priority="11" operator="equal">
      <formula>"IKKE OK"</formula>
    </cfRule>
    <cfRule type="cellIs" dxfId="103" priority="12" operator="equal">
      <formula>"OK"</formula>
    </cfRule>
  </conditionalFormatting>
  <conditionalFormatting sqref="A11:A16">
    <cfRule type="cellIs" dxfId="102" priority="9" operator="equal">
      <formula>"RÅDFØR MED MFE"</formula>
    </cfRule>
    <cfRule type="cellIs" dxfId="101" priority="10" operator="equal">
      <formula>"MANGLER"</formula>
    </cfRule>
  </conditionalFormatting>
  <conditionalFormatting sqref="A22:A28">
    <cfRule type="cellIs" dxfId="100" priority="7" operator="equal">
      <formula>"IKKE OK"</formula>
    </cfRule>
    <cfRule type="cellIs" dxfId="99" priority="8" operator="equal">
      <formula>"OK"</formula>
    </cfRule>
  </conditionalFormatting>
  <conditionalFormatting sqref="A22:A28">
    <cfRule type="cellIs" dxfId="98" priority="5" operator="equal">
      <formula>"RÅDFØR MED MFE"</formula>
    </cfRule>
    <cfRule type="cellIs" dxfId="97" priority="6" operator="equal">
      <formula>"MANGLER"</formula>
    </cfRule>
  </conditionalFormatting>
  <conditionalFormatting sqref="A40">
    <cfRule type="cellIs" dxfId="96" priority="3" operator="equal">
      <formula>"IKKE OK"</formula>
    </cfRule>
    <cfRule type="cellIs" dxfId="95" priority="4" operator="equal">
      <formula>"OK"</formula>
    </cfRule>
  </conditionalFormatting>
  <conditionalFormatting sqref="A42:A47">
    <cfRule type="cellIs" dxfId="94" priority="1" operator="equal">
      <formula>"IKKE OK"</formula>
    </cfRule>
    <cfRule type="cellIs" dxfId="93" priority="2" operator="equal">
      <formula>"OK"</formula>
    </cfRule>
  </conditionalFormatting>
  <pageMargins left="0.51181102362204722" right="0.31496062992125984" top="0.39370078740157483" bottom="0.35433070866141736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Data!$F$82:$F$84</xm:f>
          </x14:formula1>
          <xm:sqref>A42:A47</xm:sqref>
        </x14:dataValidation>
        <x14:dataValidation type="list" allowBlank="1" showInputMessage="1" showErrorMessage="1">
          <x14:formula1>
            <xm:f>Data!$G$82:$G$87</xm:f>
          </x14:formula1>
          <xm:sqref>A10:A16 A18:A20 A22:A28 A30:A33 A35:A38 A40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3"/>
  <sheetViews>
    <sheetView topLeftCell="A183" zoomScaleNormal="100" workbookViewId="0">
      <selection activeCell="U10" sqref="U10"/>
    </sheetView>
  </sheetViews>
  <sheetFormatPr defaultColWidth="9.140625" defaultRowHeight="15" x14ac:dyDescent="0.25"/>
  <cols>
    <col min="1" max="1" width="11.7109375" style="94" customWidth="1"/>
    <col min="2" max="3" width="9.140625" style="94"/>
    <col min="4" max="4" width="10.7109375" style="94" customWidth="1"/>
    <col min="5" max="5" width="10.5703125" style="94" customWidth="1"/>
    <col min="6" max="8" width="11.140625" style="94" customWidth="1"/>
    <col min="9" max="10" width="9.140625" style="94"/>
    <col min="11" max="11" width="11.42578125" style="94" customWidth="1"/>
    <col min="12" max="13" width="9.140625" style="94"/>
    <col min="14" max="14" width="12.5703125" style="94" bestFit="1" customWidth="1"/>
    <col min="15" max="16" width="9.140625" style="94"/>
    <col min="17" max="17" width="11.42578125" style="94" customWidth="1"/>
    <col min="18" max="19" width="9.140625" style="94" customWidth="1"/>
    <col min="20" max="16384" width="9.140625" style="94"/>
  </cols>
  <sheetData>
    <row r="1" spans="1:21" x14ac:dyDescent="0.25">
      <c r="A1" s="89" t="s">
        <v>280</v>
      </c>
      <c r="B1" s="90"/>
      <c r="C1" s="90"/>
      <c r="D1" s="91" t="str">
        <f>IF(Oplysningsside!B9="","",Oplysningsside!B9)</f>
        <v>Region H</v>
      </c>
      <c r="E1" s="90"/>
      <c r="F1" s="90"/>
      <c r="G1" s="92" t="s">
        <v>281</v>
      </c>
      <c r="H1" s="90"/>
      <c r="I1" s="91" t="str">
        <f>IF(Oplysningsside!B23="","",Oplysningsside!B23)</f>
        <v>Modtagekontrol</v>
      </c>
      <c r="J1" s="90"/>
      <c r="K1" s="90"/>
      <c r="L1" s="90"/>
      <c r="M1" s="92" t="s">
        <v>282</v>
      </c>
      <c r="N1" s="90"/>
      <c r="O1" s="91" t="str">
        <f>IF(Oplysningsside!B22="","",Oplysningsside!B22)</f>
        <v>Siemens</v>
      </c>
      <c r="P1" s="90"/>
      <c r="Q1" s="90"/>
      <c r="R1" s="93"/>
    </row>
    <row r="2" spans="1:21" x14ac:dyDescent="0.25">
      <c r="A2" s="95" t="s">
        <v>283</v>
      </c>
      <c r="B2" s="96"/>
      <c r="C2" s="96"/>
      <c r="D2" s="97" t="str">
        <f>IF(Oplysningsside!B10="","",Oplysningsside!B10)</f>
        <v>HGH Gentofte</v>
      </c>
      <c r="E2" s="96"/>
      <c r="F2" s="96"/>
      <c r="G2" s="98" t="s">
        <v>284</v>
      </c>
      <c r="H2" s="96"/>
      <c r="I2" s="97" t="str">
        <f>IF(Oplysningsside!B15="","",Oplysningsside!B15)</f>
        <v>Revelation</v>
      </c>
      <c r="J2" s="96"/>
      <c r="K2" s="96"/>
      <c r="L2" s="96"/>
      <c r="M2" s="98" t="s">
        <v>285</v>
      </c>
      <c r="N2" s="96"/>
      <c r="O2" s="97" t="str">
        <f>IF(Oplysningsside!B24="","",Oplysningsside!B24)</f>
        <v>01.01.2022</v>
      </c>
      <c r="P2" s="96"/>
      <c r="Q2" s="96"/>
      <c r="R2" s="99"/>
    </row>
    <row r="3" spans="1:21" x14ac:dyDescent="0.25">
      <c r="A3" s="100" t="s">
        <v>286</v>
      </c>
      <c r="B3" s="96"/>
      <c r="C3" s="96"/>
      <c r="D3" s="97" t="str">
        <f>IF(Oplysningsside!B11="","",Oplysningsside!B11)</f>
        <v>Gentofte Screening</v>
      </c>
      <c r="E3" s="96"/>
      <c r="F3" s="96"/>
      <c r="G3" s="98" t="s">
        <v>287</v>
      </c>
      <c r="H3" s="96"/>
      <c r="I3" s="101">
        <f>IF(Oplysningsside!B16="","",Oplysningsside!B16)</f>
        <v>1234</v>
      </c>
      <c r="J3" s="96"/>
      <c r="K3" s="96"/>
      <c r="L3" s="96"/>
      <c r="M3" s="98" t="s">
        <v>288</v>
      </c>
      <c r="N3" s="96"/>
      <c r="O3" s="97" t="str">
        <f>IF(Oplysningsside!B26="","",Oplysningsside!B26)</f>
        <v>EA</v>
      </c>
      <c r="P3" s="96"/>
      <c r="Q3" s="96"/>
      <c r="R3" s="99"/>
    </row>
    <row r="4" spans="1:21" x14ac:dyDescent="0.25">
      <c r="A4" s="95" t="s">
        <v>289</v>
      </c>
      <c r="B4" s="96"/>
      <c r="C4" s="96"/>
      <c r="D4" s="97" t="str">
        <f>IF(Oplysningsside!B12="","",Oplysningsside!B12)</f>
        <v>MAM 1</v>
      </c>
      <c r="E4" s="96"/>
      <c r="F4" s="96"/>
      <c r="G4" s="98" t="s">
        <v>290</v>
      </c>
      <c r="H4" s="96"/>
      <c r="I4" s="101">
        <f>IF(Oplysningsside!B17="","",Oplysningsside!B17)</f>
        <v>1234</v>
      </c>
      <c r="J4" s="96"/>
      <c r="K4" s="96"/>
      <c r="L4" s="96"/>
      <c r="M4" s="96" t="s">
        <v>291</v>
      </c>
      <c r="N4" s="96"/>
      <c r="O4" s="97" t="str">
        <f>IF(Oplysningsside!B25="","",Oplysningsside!B25)</f>
        <v>01.01.2022</v>
      </c>
      <c r="P4" s="96"/>
      <c r="Q4" s="96"/>
      <c r="R4" s="99"/>
    </row>
    <row r="5" spans="1:21" x14ac:dyDescent="0.25">
      <c r="A5" s="102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4"/>
    </row>
    <row r="7" spans="1:21" ht="26.25" x14ac:dyDescent="0.4">
      <c r="A7" s="133" t="s">
        <v>708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6" t="str">
        <f>IF(Oplysningsside!$B$23="","",Oplysningsside!$B$23)</f>
        <v>Modtagekontrol</v>
      </c>
      <c r="P7" s="134"/>
      <c r="Q7" s="135"/>
      <c r="R7" s="136" t="str">
        <f>IF(Oplysningsside!$B$24="","",Oplysningsside!$B$24)</f>
        <v>01.01.2022</v>
      </c>
    </row>
    <row r="9" spans="1:21" ht="18.75" x14ac:dyDescent="0.3">
      <c r="A9" s="116" t="s">
        <v>338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</row>
    <row r="10" spans="1:21" x14ac:dyDescent="0.25">
      <c r="T10" s="126"/>
    </row>
    <row r="11" spans="1:21" x14ac:dyDescent="0.25">
      <c r="A11" s="138" t="s">
        <v>408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8" t="s">
        <v>421</v>
      </c>
      <c r="N11" s="139"/>
      <c r="O11" s="139"/>
      <c r="P11" s="139"/>
      <c r="Q11" s="139"/>
      <c r="R11" s="139"/>
      <c r="T11" s="126"/>
    </row>
    <row r="12" spans="1:21" x14ac:dyDescent="0.25">
      <c r="A12" s="302" t="s">
        <v>307</v>
      </c>
      <c r="B12" s="576" t="s">
        <v>273</v>
      </c>
      <c r="C12" s="576"/>
      <c r="D12" s="576"/>
      <c r="E12" s="576"/>
      <c r="F12" s="576"/>
      <c r="G12" s="576"/>
      <c r="H12" s="576"/>
      <c r="I12" s="576"/>
      <c r="J12" s="576"/>
      <c r="K12" s="576"/>
      <c r="L12" s="576"/>
      <c r="M12" s="628"/>
      <c r="N12" s="554"/>
      <c r="O12" s="554"/>
      <c r="P12" s="554"/>
      <c r="Q12" s="554"/>
      <c r="R12" s="555"/>
      <c r="T12" s="126"/>
      <c r="U12" s="581"/>
    </row>
    <row r="13" spans="1:21" x14ac:dyDescent="0.25">
      <c r="A13" s="577" t="s">
        <v>560</v>
      </c>
      <c r="B13" s="577" t="s">
        <v>561</v>
      </c>
      <c r="C13" s="577"/>
      <c r="D13" s="577"/>
      <c r="E13" s="577"/>
      <c r="F13" s="578"/>
      <c r="G13" s="578"/>
      <c r="H13" s="578"/>
      <c r="I13" s="578"/>
      <c r="J13" s="578"/>
      <c r="K13" s="578"/>
      <c r="L13" s="578"/>
      <c r="M13" s="658"/>
      <c r="N13" s="642"/>
      <c r="O13" s="642"/>
      <c r="P13" s="642"/>
      <c r="Q13" s="642"/>
      <c r="R13" s="643"/>
      <c r="T13" s="126"/>
      <c r="U13" s="581"/>
    </row>
    <row r="14" spans="1:21" x14ac:dyDescent="0.25">
      <c r="A14" s="577" t="s">
        <v>308</v>
      </c>
      <c r="B14" s="623" t="s">
        <v>536</v>
      </c>
      <c r="C14" s="578"/>
      <c r="D14" s="578"/>
      <c r="E14" s="578"/>
      <c r="F14" s="578"/>
      <c r="G14" s="578"/>
      <c r="H14" s="578"/>
      <c r="I14" s="578"/>
      <c r="J14" s="578"/>
      <c r="K14" s="578"/>
      <c r="L14" s="578"/>
      <c r="M14" s="556"/>
      <c r="N14" s="557"/>
      <c r="O14" s="557"/>
      <c r="P14" s="557"/>
      <c r="Q14" s="557"/>
      <c r="R14" s="558"/>
      <c r="T14" s="246"/>
    </row>
    <row r="15" spans="1:21" x14ac:dyDescent="0.25">
      <c r="A15" s="577" t="s">
        <v>76</v>
      </c>
      <c r="B15" s="578" t="s">
        <v>513</v>
      </c>
      <c r="C15" s="578"/>
      <c r="D15" s="578"/>
      <c r="E15" s="578"/>
      <c r="F15" s="578"/>
      <c r="G15" s="578"/>
      <c r="H15" s="578"/>
      <c r="I15" s="578"/>
      <c r="J15" s="578"/>
      <c r="K15" s="578"/>
      <c r="L15" s="578"/>
      <c r="M15" s="556"/>
      <c r="N15" s="557"/>
      <c r="O15" s="557"/>
      <c r="P15" s="557"/>
      <c r="Q15" s="557"/>
      <c r="R15" s="558"/>
      <c r="T15" s="246"/>
    </row>
    <row r="16" spans="1:21" x14ac:dyDescent="0.25">
      <c r="A16" s="577"/>
      <c r="B16" s="578" t="s">
        <v>586</v>
      </c>
      <c r="C16" s="578"/>
      <c r="D16" s="578"/>
      <c r="E16" s="578"/>
      <c r="F16" s="578"/>
      <c r="G16" s="578"/>
      <c r="H16" s="578"/>
      <c r="I16" s="578"/>
      <c r="J16" s="578"/>
      <c r="K16" s="578"/>
      <c r="L16" s="578"/>
      <c r="M16" s="556"/>
      <c r="N16" s="557"/>
      <c r="O16" s="557"/>
      <c r="P16" s="557"/>
      <c r="Q16" s="557"/>
      <c r="R16" s="558"/>
      <c r="T16" s="246"/>
    </row>
    <row r="17" spans="1:20" x14ac:dyDescent="0.25">
      <c r="A17" s="577"/>
      <c r="B17" s="578" t="s">
        <v>587</v>
      </c>
      <c r="C17" s="578"/>
      <c r="D17" s="578"/>
      <c r="E17" s="578"/>
      <c r="F17" s="578"/>
      <c r="G17" s="578"/>
      <c r="H17" s="578"/>
      <c r="I17" s="578"/>
      <c r="J17" s="578"/>
      <c r="K17" s="578"/>
      <c r="L17" s="578"/>
      <c r="M17" s="556"/>
      <c r="N17" s="557"/>
      <c r="O17" s="557"/>
      <c r="P17" s="557"/>
      <c r="Q17" s="557"/>
      <c r="R17" s="558"/>
      <c r="T17" s="229"/>
    </row>
    <row r="18" spans="1:20" x14ac:dyDescent="0.25">
      <c r="A18" s="577"/>
      <c r="B18" s="578" t="s">
        <v>514</v>
      </c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1"/>
      <c r="N18" s="572"/>
      <c r="O18" s="572"/>
      <c r="P18" s="572"/>
      <c r="Q18" s="572"/>
      <c r="R18" s="573"/>
      <c r="T18" s="229"/>
    </row>
    <row r="19" spans="1:20" x14ac:dyDescent="0.25">
      <c r="A19" s="577"/>
      <c r="B19" s="578" t="s">
        <v>585</v>
      </c>
      <c r="C19" s="578"/>
      <c r="D19" s="578"/>
      <c r="E19" s="578"/>
      <c r="F19" s="578"/>
      <c r="G19" s="578"/>
      <c r="H19" s="578"/>
      <c r="I19" s="578"/>
      <c r="J19" s="578"/>
      <c r="K19" s="578"/>
      <c r="L19" s="578"/>
      <c r="M19" s="571"/>
      <c r="N19" s="572"/>
      <c r="O19" s="572"/>
      <c r="P19" s="572"/>
      <c r="Q19" s="572"/>
      <c r="R19" s="573"/>
      <c r="T19" s="229"/>
    </row>
    <row r="20" spans="1:20" x14ac:dyDescent="0.25">
      <c r="A20" s="579" t="s">
        <v>100</v>
      </c>
      <c r="B20" s="541" t="s">
        <v>343</v>
      </c>
      <c r="C20" s="541"/>
      <c r="D20" s="541"/>
      <c r="E20" s="541"/>
      <c r="F20" s="541"/>
      <c r="G20" s="541"/>
      <c r="H20" s="541"/>
      <c r="I20" s="541"/>
      <c r="J20" s="541"/>
      <c r="K20" s="541"/>
      <c r="L20" s="541"/>
      <c r="M20" s="574"/>
      <c r="N20" s="543"/>
      <c r="O20" s="543"/>
      <c r="P20" s="543"/>
      <c r="Q20" s="543"/>
      <c r="R20" s="575"/>
      <c r="T20" s="229"/>
    </row>
    <row r="21" spans="1:20" x14ac:dyDescent="0.25">
      <c r="A21" s="149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T21" s="229"/>
    </row>
    <row r="22" spans="1:20" x14ac:dyDescent="0.25">
      <c r="A22" s="150" t="s">
        <v>409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T22" s="229"/>
    </row>
    <row r="23" spans="1:20" x14ac:dyDescent="0.25">
      <c r="A23" s="145"/>
      <c r="I23" s="126"/>
      <c r="J23" s="126"/>
      <c r="K23" s="126"/>
      <c r="L23" s="126"/>
      <c r="M23" s="126"/>
      <c r="N23" s="126"/>
      <c r="O23" s="126"/>
      <c r="P23" s="126"/>
      <c r="Q23" s="126"/>
      <c r="T23" s="229"/>
    </row>
    <row r="24" spans="1:20" x14ac:dyDescent="0.25">
      <c r="A24" s="1" t="s">
        <v>171</v>
      </c>
      <c r="B24" s="559" t="s">
        <v>405</v>
      </c>
      <c r="C24" s="119"/>
      <c r="D24" s="119"/>
      <c r="E24" s="143"/>
      <c r="T24" s="246"/>
    </row>
    <row r="25" spans="1:20" x14ac:dyDescent="0.25">
      <c r="A25" s="2">
        <v>20</v>
      </c>
      <c r="B25" s="570" t="s">
        <v>410</v>
      </c>
      <c r="C25" s="122"/>
      <c r="D25" s="122"/>
      <c r="E25" s="148"/>
      <c r="G25" s="120"/>
      <c r="T25" s="246"/>
    </row>
    <row r="26" spans="1:20" ht="18" x14ac:dyDescent="0.35">
      <c r="A26" s="154" t="s">
        <v>5</v>
      </c>
      <c r="B26" s="154" t="s">
        <v>345</v>
      </c>
      <c r="C26" s="532" t="s">
        <v>350</v>
      </c>
      <c r="D26" s="155" t="s">
        <v>346</v>
      </c>
      <c r="E26" s="155" t="s">
        <v>0</v>
      </c>
      <c r="T26" s="246"/>
    </row>
    <row r="27" spans="1:20" x14ac:dyDescent="0.25">
      <c r="A27" s="154"/>
      <c r="B27" s="154" t="s">
        <v>344</v>
      </c>
      <c r="C27" s="154" t="s">
        <v>344</v>
      </c>
      <c r="D27" s="154" t="s">
        <v>344</v>
      </c>
      <c r="E27" s="155"/>
      <c r="S27" s="145"/>
      <c r="T27" s="145"/>
    </row>
    <row r="28" spans="1:20" x14ac:dyDescent="0.25">
      <c r="A28" s="18">
        <v>1</v>
      </c>
      <c r="B28" s="3">
        <v>26</v>
      </c>
      <c r="C28" s="4">
        <v>26.5</v>
      </c>
      <c r="D28" s="17">
        <f>IF(OR(B28="",C28=""),"",ABS(B28-C28))</f>
        <v>0.5</v>
      </c>
      <c r="E28" s="489" t="str">
        <f>IF(OR(B28="",C28=""),"",IF(D28&gt;1,"IKKE OK","OK"))</f>
        <v>OK</v>
      </c>
      <c r="S28" s="43"/>
      <c r="T28" s="47"/>
    </row>
    <row r="29" spans="1:20" x14ac:dyDescent="0.25">
      <c r="A29" s="113">
        <v>2</v>
      </c>
      <c r="B29" s="5">
        <v>27</v>
      </c>
      <c r="C29" s="6">
        <v>27.5</v>
      </c>
      <c r="D29" s="19">
        <f t="shared" ref="D29:D32" si="0">IF(OR(B29="",C29=""),"",ABS(B29-C29))</f>
        <v>0.5</v>
      </c>
      <c r="E29" s="490" t="str">
        <f t="shared" ref="E29:E32" si="1">IF(OR(B29="",C29=""),"",IF(D29&gt;1,"IKKE OK","OK"))</f>
        <v>OK</v>
      </c>
      <c r="O29" s="126"/>
      <c r="S29" s="43"/>
      <c r="T29" s="47"/>
    </row>
    <row r="30" spans="1:20" x14ac:dyDescent="0.25">
      <c r="A30" s="113">
        <v>3</v>
      </c>
      <c r="B30" s="5">
        <v>28</v>
      </c>
      <c r="C30" s="6">
        <v>28.5</v>
      </c>
      <c r="D30" s="19">
        <f t="shared" si="0"/>
        <v>0.5</v>
      </c>
      <c r="E30" s="490" t="str">
        <f t="shared" si="1"/>
        <v>OK</v>
      </c>
      <c r="O30" s="126"/>
      <c r="S30" s="43"/>
      <c r="T30" s="47"/>
    </row>
    <row r="31" spans="1:20" x14ac:dyDescent="0.25">
      <c r="A31" s="113">
        <v>4</v>
      </c>
      <c r="B31" s="5">
        <v>30</v>
      </c>
      <c r="C31" s="6">
        <v>30.5</v>
      </c>
      <c r="D31" s="19">
        <f t="shared" si="0"/>
        <v>0.5</v>
      </c>
      <c r="E31" s="490" t="str">
        <f t="shared" si="1"/>
        <v>OK</v>
      </c>
      <c r="O31" s="126"/>
      <c r="S31" s="43"/>
      <c r="T31" s="47"/>
    </row>
    <row r="32" spans="1:20" x14ac:dyDescent="0.25">
      <c r="A32" s="121">
        <v>5</v>
      </c>
      <c r="B32" s="7">
        <v>32</v>
      </c>
      <c r="C32" s="8">
        <v>32.5</v>
      </c>
      <c r="D32" s="20">
        <f t="shared" si="0"/>
        <v>0.5</v>
      </c>
      <c r="E32" s="491" t="str">
        <f t="shared" si="1"/>
        <v>OK</v>
      </c>
      <c r="O32" s="126"/>
      <c r="S32" s="43"/>
      <c r="T32" s="47"/>
    </row>
    <row r="33" spans="1:20" x14ac:dyDescent="0.25">
      <c r="A33" s="43"/>
      <c r="B33" s="697"/>
      <c r="C33" s="436"/>
      <c r="D33" s="47"/>
      <c r="E33" s="616"/>
      <c r="S33" s="43"/>
      <c r="T33" s="47"/>
    </row>
    <row r="34" spans="1:20" x14ac:dyDescent="0.25">
      <c r="A34" s="43"/>
      <c r="B34" s="697"/>
      <c r="C34" s="436"/>
      <c r="D34" s="47"/>
      <c r="E34" s="616"/>
      <c r="S34" s="43"/>
      <c r="T34" s="47"/>
    </row>
    <row r="35" spans="1:20" x14ac:dyDescent="0.25">
      <c r="A35" s="43"/>
      <c r="B35" s="697"/>
      <c r="C35" s="436"/>
      <c r="D35" s="47"/>
      <c r="E35" s="616"/>
      <c r="S35" s="43"/>
      <c r="T35" s="47"/>
    </row>
    <row r="36" spans="1:20" x14ac:dyDescent="0.25">
      <c r="A36" s="43"/>
      <c r="B36" s="697"/>
      <c r="C36" s="436"/>
      <c r="D36" s="47"/>
      <c r="E36" s="616"/>
      <c r="S36" s="43"/>
      <c r="T36" s="47"/>
    </row>
    <row r="37" spans="1:20" x14ac:dyDescent="0.25">
      <c r="A37" s="43"/>
      <c r="B37" s="697"/>
      <c r="C37" s="436"/>
      <c r="D37" s="47"/>
      <c r="E37" s="616"/>
      <c r="S37" s="43"/>
      <c r="T37" s="47"/>
    </row>
    <row r="38" spans="1:20" x14ac:dyDescent="0.25">
      <c r="S38" s="145"/>
      <c r="T38" s="145"/>
    </row>
    <row r="40" spans="1:20" ht="18.75" x14ac:dyDescent="0.3">
      <c r="A40" s="116" t="s">
        <v>538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</row>
    <row r="42" spans="1:20" x14ac:dyDescent="0.25">
      <c r="A42" s="138" t="s">
        <v>411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8" t="s">
        <v>421</v>
      </c>
      <c r="N42" s="139"/>
      <c r="O42" s="139"/>
      <c r="P42" s="139"/>
      <c r="Q42" s="139"/>
      <c r="R42" s="139"/>
    </row>
    <row r="43" spans="1:20" x14ac:dyDescent="0.25">
      <c r="A43" s="141" t="s">
        <v>307</v>
      </c>
      <c r="B43" s="142" t="s">
        <v>65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628"/>
      <c r="N43" s="554"/>
      <c r="O43" s="554"/>
      <c r="P43" s="554"/>
      <c r="Q43" s="554"/>
      <c r="R43" s="555"/>
    </row>
    <row r="44" spans="1:20" x14ac:dyDescent="0.25">
      <c r="A44" s="159" t="s">
        <v>560</v>
      </c>
      <c r="B44" s="159" t="s">
        <v>642</v>
      </c>
      <c r="C44" s="159"/>
      <c r="D44" s="159"/>
      <c r="E44" s="159"/>
      <c r="F44" s="145"/>
      <c r="G44" s="145"/>
      <c r="H44" s="145"/>
      <c r="I44" s="145"/>
      <c r="J44" s="145"/>
      <c r="K44" s="145"/>
      <c r="L44" s="145"/>
      <c r="M44" s="658"/>
      <c r="N44" s="642"/>
      <c r="O44" s="642"/>
      <c r="P44" s="642"/>
      <c r="Q44" s="642"/>
      <c r="R44" s="643"/>
    </row>
    <row r="45" spans="1:20" x14ac:dyDescent="0.25">
      <c r="A45" s="159" t="s">
        <v>308</v>
      </c>
      <c r="B45" s="624" t="s">
        <v>537</v>
      </c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556"/>
      <c r="N45" s="557"/>
      <c r="O45" s="557"/>
      <c r="P45" s="557"/>
      <c r="Q45" s="557"/>
      <c r="R45" s="558"/>
    </row>
    <row r="46" spans="1:20" x14ac:dyDescent="0.25">
      <c r="A46" s="159" t="s">
        <v>76</v>
      </c>
      <c r="B46" s="120" t="s">
        <v>407</v>
      </c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556"/>
      <c r="N46" s="557"/>
      <c r="O46" s="557"/>
      <c r="P46" s="557"/>
      <c r="Q46" s="557"/>
      <c r="R46" s="558"/>
    </row>
    <row r="47" spans="1:20" x14ac:dyDescent="0.25">
      <c r="A47" s="159"/>
      <c r="B47" s="120" t="s">
        <v>352</v>
      </c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556"/>
      <c r="N47" s="557"/>
      <c r="O47" s="557"/>
      <c r="P47" s="557"/>
      <c r="Q47" s="557"/>
      <c r="R47" s="558"/>
    </row>
    <row r="48" spans="1:20" x14ac:dyDescent="0.25">
      <c r="A48" s="160" t="s">
        <v>100</v>
      </c>
      <c r="B48" s="710" t="s">
        <v>641</v>
      </c>
      <c r="C48" s="160"/>
      <c r="D48" s="160"/>
      <c r="E48" s="160"/>
      <c r="F48" s="160"/>
      <c r="G48" s="147"/>
      <c r="H48" s="147"/>
      <c r="I48" s="147"/>
      <c r="J48" s="147"/>
      <c r="K48" s="147"/>
      <c r="L48" s="147"/>
      <c r="M48" s="550"/>
      <c r="N48" s="551"/>
      <c r="O48" s="551"/>
      <c r="P48" s="551"/>
      <c r="Q48" s="551"/>
      <c r="R48" s="552"/>
    </row>
    <row r="49" spans="1:20" x14ac:dyDescent="0.25">
      <c r="A49" s="145"/>
      <c r="B49" s="162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</row>
    <row r="50" spans="1:20" x14ac:dyDescent="0.25">
      <c r="A50" s="150" t="s">
        <v>412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</row>
    <row r="52" spans="1:20" x14ac:dyDescent="0.25">
      <c r="A52" s="1" t="s">
        <v>171</v>
      </c>
      <c r="B52" s="119" t="s">
        <v>312</v>
      </c>
      <c r="C52" s="119"/>
      <c r="D52" s="119"/>
      <c r="E52" s="143"/>
      <c r="F52" s="120"/>
      <c r="G52" s="120"/>
      <c r="I52" s="120"/>
      <c r="R52" s="145"/>
      <c r="T52" s="145"/>
    </row>
    <row r="53" spans="1:20" x14ac:dyDescent="0.25">
      <c r="A53" s="9">
        <v>28</v>
      </c>
      <c r="B53" s="114" t="s">
        <v>413</v>
      </c>
      <c r="C53" s="120"/>
      <c r="D53" s="120"/>
      <c r="E53" s="146"/>
      <c r="F53" s="120"/>
      <c r="G53" s="120"/>
      <c r="I53" s="540"/>
      <c r="R53" s="145"/>
      <c r="S53" s="145"/>
      <c r="T53" s="145"/>
    </row>
    <row r="54" spans="1:20" x14ac:dyDescent="0.25">
      <c r="A54" s="2">
        <v>50</v>
      </c>
      <c r="B54" s="115" t="s">
        <v>410</v>
      </c>
      <c r="C54" s="122"/>
      <c r="D54" s="122"/>
      <c r="E54" s="148"/>
      <c r="F54" s="120"/>
      <c r="G54" s="120"/>
      <c r="I54" s="536"/>
      <c r="R54" s="145"/>
      <c r="S54" s="145"/>
      <c r="T54" s="145"/>
    </row>
    <row r="55" spans="1:20" x14ac:dyDescent="0.25">
      <c r="A55" s="154" t="s">
        <v>5</v>
      </c>
      <c r="B55" s="155" t="s">
        <v>2</v>
      </c>
      <c r="C55" s="155" t="s">
        <v>2</v>
      </c>
      <c r="D55" s="155" t="s">
        <v>349</v>
      </c>
      <c r="E55" s="155" t="s">
        <v>0</v>
      </c>
      <c r="I55" s="536"/>
      <c r="R55" s="165"/>
      <c r="S55" s="165"/>
      <c r="T55" s="145"/>
    </row>
    <row r="56" spans="1:20" x14ac:dyDescent="0.25">
      <c r="A56" s="154"/>
      <c r="B56" s="155"/>
      <c r="C56" s="155" t="s">
        <v>351</v>
      </c>
      <c r="D56" s="155"/>
      <c r="E56" s="155"/>
      <c r="I56" s="120"/>
      <c r="R56" s="165"/>
      <c r="S56" s="165"/>
      <c r="T56" s="145"/>
    </row>
    <row r="57" spans="1:20" x14ac:dyDescent="0.25">
      <c r="A57" s="156"/>
      <c r="B57" s="157" t="s">
        <v>310</v>
      </c>
      <c r="C57" s="157" t="s">
        <v>310</v>
      </c>
      <c r="D57" s="157" t="s">
        <v>311</v>
      </c>
      <c r="E57" s="157"/>
      <c r="R57" s="165"/>
      <c r="S57" s="165"/>
      <c r="T57" s="145"/>
    </row>
    <row r="58" spans="1:20" x14ac:dyDescent="0.25">
      <c r="A58" s="18">
        <v>1</v>
      </c>
      <c r="B58" s="3">
        <v>1.3680000000000001</v>
      </c>
      <c r="C58" s="17">
        <f>IF(B58="","",AVERAGEIF(B58:B60,"&gt;0",B58:B60))</f>
        <v>1.369</v>
      </c>
      <c r="D58" s="17">
        <f>IF(B58="","",ABS($C$58/B58-1)*100)</f>
        <v>7.309941520468044E-2</v>
      </c>
      <c r="E58" s="489" t="str">
        <f>IF(B58="","",IF(MAX(D58:D60)&gt;5,"IKKE OK","OK"))</f>
        <v>OK</v>
      </c>
      <c r="R58" s="43"/>
      <c r="S58" s="43"/>
      <c r="T58" s="145"/>
    </row>
    <row r="59" spans="1:20" x14ac:dyDescent="0.25">
      <c r="A59" s="113">
        <v>2</v>
      </c>
      <c r="B59" s="5">
        <v>1.3660000000000001</v>
      </c>
      <c r="C59" s="166"/>
      <c r="D59" s="19">
        <f>IF(B59="","",ABS($C$58/B59-1)*100)</f>
        <v>0.21961932650071958</v>
      </c>
      <c r="E59" s="166"/>
      <c r="R59" s="43"/>
      <c r="S59" s="43"/>
      <c r="T59" s="145"/>
    </row>
    <row r="60" spans="1:20" x14ac:dyDescent="0.25">
      <c r="A60" s="121">
        <v>3</v>
      </c>
      <c r="B60" s="7">
        <v>1.373</v>
      </c>
      <c r="C60" s="266"/>
      <c r="D60" s="20">
        <f t="shared" ref="D60" si="2">IF(B60="","",ABS($C$58/B60-1)*100)</f>
        <v>0.29133284777859147</v>
      </c>
      <c r="E60" s="167"/>
      <c r="R60" s="43"/>
      <c r="S60" s="43"/>
      <c r="T60" s="145"/>
    </row>
    <row r="61" spans="1:20" x14ac:dyDescent="0.25">
      <c r="R61" s="145"/>
      <c r="S61" s="145"/>
      <c r="T61" s="145"/>
    </row>
    <row r="63" spans="1:20" ht="18.75" x14ac:dyDescent="0.3">
      <c r="A63" s="116" t="s">
        <v>588</v>
      </c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</row>
    <row r="64" spans="1:20" x14ac:dyDescent="0.25">
      <c r="N64" s="120"/>
    </row>
    <row r="65" spans="1:22" x14ac:dyDescent="0.25">
      <c r="A65" s="138" t="s">
        <v>415</v>
      </c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8" t="s">
        <v>421</v>
      </c>
      <c r="N65" s="139"/>
      <c r="O65" s="139"/>
      <c r="P65" s="139"/>
      <c r="Q65" s="139"/>
      <c r="R65" s="139"/>
    </row>
    <row r="66" spans="1:22" x14ac:dyDescent="0.25">
      <c r="A66" s="141" t="s">
        <v>307</v>
      </c>
      <c r="B66" s="142" t="s">
        <v>65</v>
      </c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553"/>
      <c r="N66" s="554"/>
      <c r="O66" s="554"/>
      <c r="P66" s="554"/>
      <c r="Q66" s="554"/>
      <c r="R66" s="555"/>
      <c r="T66" s="581"/>
    </row>
    <row r="67" spans="1:22" x14ac:dyDescent="0.25">
      <c r="A67" s="159" t="s">
        <v>560</v>
      </c>
      <c r="B67" s="159" t="s">
        <v>561</v>
      </c>
      <c r="C67" s="159"/>
      <c r="D67" s="159"/>
      <c r="E67" s="145"/>
      <c r="F67" s="145"/>
      <c r="G67" s="145"/>
      <c r="H67" s="145"/>
      <c r="I67" s="145"/>
      <c r="J67" s="145"/>
      <c r="K67" s="145"/>
      <c r="L67" s="145"/>
      <c r="M67" s="641"/>
      <c r="N67" s="642"/>
      <c r="O67" s="642"/>
      <c r="P67" s="642"/>
      <c r="Q67" s="642"/>
      <c r="R67" s="643"/>
      <c r="T67" s="581"/>
    </row>
    <row r="68" spans="1:22" x14ac:dyDescent="0.25">
      <c r="A68" s="159" t="s">
        <v>308</v>
      </c>
      <c r="B68" s="624" t="s">
        <v>537</v>
      </c>
      <c r="C68" s="625"/>
      <c r="D68" s="624"/>
      <c r="E68" s="624"/>
      <c r="F68" s="145"/>
      <c r="G68" s="145"/>
      <c r="H68" s="145"/>
      <c r="I68" s="145"/>
      <c r="J68" s="145"/>
      <c r="K68" s="145"/>
      <c r="L68" s="145"/>
      <c r="M68" s="556"/>
      <c r="N68" s="557"/>
      <c r="O68" s="557"/>
      <c r="P68" s="557"/>
      <c r="Q68" s="557"/>
      <c r="R68" s="558"/>
    </row>
    <row r="69" spans="1:22" x14ac:dyDescent="0.25">
      <c r="A69" s="159" t="s">
        <v>76</v>
      </c>
      <c r="B69" s="145" t="s">
        <v>589</v>
      </c>
      <c r="C69" s="162"/>
      <c r="D69" s="145"/>
      <c r="E69" s="145"/>
      <c r="F69" s="145"/>
      <c r="G69" s="145"/>
      <c r="H69" s="145"/>
      <c r="I69" s="145"/>
      <c r="J69" s="145"/>
      <c r="K69" s="145"/>
      <c r="L69" s="145"/>
      <c r="M69" s="556"/>
      <c r="N69" s="557"/>
      <c r="O69" s="557"/>
      <c r="P69" s="557"/>
      <c r="Q69" s="557"/>
      <c r="R69" s="558"/>
    </row>
    <row r="70" spans="1:22" x14ac:dyDescent="0.25">
      <c r="A70" s="159"/>
      <c r="B70" s="94" t="s">
        <v>590</v>
      </c>
      <c r="C70" s="162"/>
      <c r="D70" s="145"/>
      <c r="E70" s="145"/>
      <c r="F70" s="145"/>
      <c r="G70" s="145"/>
      <c r="H70" s="145"/>
      <c r="I70" s="145"/>
      <c r="J70" s="145"/>
      <c r="K70" s="145"/>
      <c r="L70" s="145"/>
      <c r="M70" s="556"/>
      <c r="N70" s="557"/>
      <c r="O70" s="557"/>
      <c r="P70" s="557"/>
      <c r="Q70" s="557"/>
      <c r="R70" s="558"/>
    </row>
    <row r="71" spans="1:22" x14ac:dyDescent="0.25">
      <c r="A71" s="159"/>
      <c r="B71" s="145" t="s">
        <v>352</v>
      </c>
      <c r="C71" s="162"/>
      <c r="D71" s="145"/>
      <c r="E71" s="145"/>
      <c r="F71" s="145"/>
      <c r="G71" s="145"/>
      <c r="H71" s="145"/>
      <c r="I71" s="145"/>
      <c r="J71" s="145"/>
      <c r="K71" s="145"/>
      <c r="L71" s="145"/>
      <c r="M71" s="556"/>
      <c r="N71" s="557"/>
      <c r="O71" s="557"/>
      <c r="P71" s="557"/>
      <c r="Q71" s="557"/>
      <c r="R71" s="558"/>
    </row>
    <row r="72" spans="1:22" x14ac:dyDescent="0.25">
      <c r="A72" s="160" t="s">
        <v>100</v>
      </c>
      <c r="B72" s="161" t="s">
        <v>132</v>
      </c>
      <c r="C72" s="161"/>
      <c r="D72" s="147"/>
      <c r="E72" s="147"/>
      <c r="F72" s="580"/>
      <c r="G72" s="147"/>
      <c r="H72" s="147"/>
      <c r="I72" s="147"/>
      <c r="J72" s="147"/>
      <c r="K72" s="147"/>
      <c r="L72" s="147"/>
      <c r="M72" s="574"/>
      <c r="N72" s="543"/>
      <c r="O72" s="543"/>
      <c r="P72" s="543"/>
      <c r="Q72" s="543"/>
      <c r="R72" s="575"/>
    </row>
    <row r="73" spans="1:22" x14ac:dyDescent="0.25">
      <c r="A73" s="145"/>
      <c r="B73" s="162"/>
      <c r="C73" s="162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</row>
    <row r="74" spans="1:22" x14ac:dyDescent="0.25">
      <c r="A74" s="150" t="s">
        <v>417</v>
      </c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</row>
    <row r="75" spans="1:22" x14ac:dyDescent="0.25">
      <c r="C75" s="169"/>
      <c r="N75" s="120"/>
      <c r="T75" s="120"/>
    </row>
    <row r="76" spans="1:22" x14ac:dyDescent="0.25">
      <c r="A76" s="1" t="s">
        <v>171</v>
      </c>
      <c r="B76" s="119" t="s">
        <v>312</v>
      </c>
      <c r="C76" s="119"/>
      <c r="D76" s="119"/>
      <c r="E76" s="119"/>
      <c r="F76" s="143"/>
      <c r="N76" s="120"/>
      <c r="T76" s="120"/>
    </row>
    <row r="77" spans="1:22" x14ac:dyDescent="0.25">
      <c r="A77" s="9">
        <v>28</v>
      </c>
      <c r="B77" s="120" t="s">
        <v>414</v>
      </c>
      <c r="C77" s="120"/>
      <c r="D77" s="120"/>
      <c r="E77" s="120"/>
      <c r="F77" s="146"/>
      <c r="N77" s="120"/>
      <c r="R77" s="126"/>
      <c r="S77" s="126"/>
      <c r="T77" s="638"/>
      <c r="U77" s="126"/>
    </row>
    <row r="78" spans="1:22" x14ac:dyDescent="0.25">
      <c r="A78" s="2">
        <v>635</v>
      </c>
      <c r="B78" s="626" t="s">
        <v>539</v>
      </c>
      <c r="C78" s="122"/>
      <c r="D78" s="122"/>
      <c r="E78" s="172"/>
      <c r="F78" s="148"/>
      <c r="N78" s="120"/>
      <c r="R78" s="126"/>
      <c r="S78" s="126"/>
      <c r="T78" s="639"/>
      <c r="U78" s="126"/>
      <c r="V78" s="126"/>
    </row>
    <row r="79" spans="1:22" x14ac:dyDescent="0.25">
      <c r="A79" s="154" t="s">
        <v>5</v>
      </c>
      <c r="B79" s="532" t="s">
        <v>347</v>
      </c>
      <c r="C79" s="155" t="s">
        <v>2</v>
      </c>
      <c r="D79" s="533" t="s">
        <v>6</v>
      </c>
      <c r="E79" s="155" t="s">
        <v>7</v>
      </c>
      <c r="F79" s="155" t="s">
        <v>0</v>
      </c>
      <c r="G79" s="173"/>
      <c r="R79" s="246"/>
      <c r="S79" s="126"/>
      <c r="T79" s="639"/>
      <c r="U79" s="126"/>
      <c r="V79" s="126"/>
    </row>
    <row r="80" spans="1:22" x14ac:dyDescent="0.25">
      <c r="A80" s="156"/>
      <c r="B80" s="156" t="s">
        <v>332</v>
      </c>
      <c r="C80" s="157" t="s">
        <v>310</v>
      </c>
      <c r="D80" s="157" t="s">
        <v>329</v>
      </c>
      <c r="E80" s="157" t="s">
        <v>311</v>
      </c>
      <c r="F80" s="157"/>
      <c r="G80" s="173"/>
      <c r="R80" s="126"/>
      <c r="S80" s="126"/>
      <c r="T80" s="145"/>
      <c r="U80" s="126"/>
      <c r="V80" s="126"/>
    </row>
    <row r="81" spans="1:18" x14ac:dyDescent="0.25">
      <c r="A81" s="18">
        <v>1</v>
      </c>
      <c r="B81" s="48">
        <v>20</v>
      </c>
      <c r="C81" s="48">
        <v>0.55500000000000005</v>
      </c>
      <c r="D81" s="77">
        <f>IF(OR(B81="",C81=""),"",C81/B81)</f>
        <v>2.7750000000000004E-2</v>
      </c>
      <c r="E81" s="24">
        <f>IF(C81="","",(MAX(D81:D88)-MIN(D81:D88))/(MAX(D81:D88)+MIN(D81:D88))*100)</f>
        <v>0.81743869209809705</v>
      </c>
      <c r="F81" s="492" t="str">
        <f>IF(C81="","",IF(ABS(E81)&gt;10,"IKKE OK","OK"))</f>
        <v>OK</v>
      </c>
    </row>
    <row r="82" spans="1:18" x14ac:dyDescent="0.25">
      <c r="A82" s="113">
        <v>2</v>
      </c>
      <c r="B82" s="49">
        <v>50</v>
      </c>
      <c r="C82" s="49">
        <v>1.367</v>
      </c>
      <c r="D82" s="78">
        <f t="shared" ref="D82:D88" si="3">IF(OR(B82="",C82=""),"",C82/B82)</f>
        <v>2.734E-2</v>
      </c>
      <c r="E82" s="166"/>
      <c r="F82" s="166"/>
    </row>
    <row r="83" spans="1:18" x14ac:dyDescent="0.25">
      <c r="A83" s="113">
        <v>3</v>
      </c>
      <c r="B83" s="49">
        <v>80</v>
      </c>
      <c r="C83" s="49">
        <v>2.1840000000000002</v>
      </c>
      <c r="D83" s="78">
        <f t="shared" si="3"/>
        <v>2.7300000000000001E-2</v>
      </c>
      <c r="E83" s="166"/>
      <c r="F83" s="166"/>
    </row>
    <row r="84" spans="1:18" x14ac:dyDescent="0.25">
      <c r="A84" s="113">
        <v>4</v>
      </c>
      <c r="B84" s="49">
        <v>100</v>
      </c>
      <c r="C84" s="49">
        <v>2.7450000000000001</v>
      </c>
      <c r="D84" s="78">
        <f t="shared" si="3"/>
        <v>2.7450000000000002E-2</v>
      </c>
      <c r="E84" s="166"/>
      <c r="F84" s="166"/>
    </row>
    <row r="85" spans="1:18" x14ac:dyDescent="0.25">
      <c r="A85" s="113">
        <v>5</v>
      </c>
      <c r="B85" s="49">
        <v>140</v>
      </c>
      <c r="C85" s="49">
        <v>3.8410000000000002</v>
      </c>
      <c r="D85" s="78">
        <f t="shared" si="3"/>
        <v>2.7435714285714285E-2</v>
      </c>
      <c r="E85" s="166"/>
      <c r="F85" s="166"/>
    </row>
    <row r="86" spans="1:18" x14ac:dyDescent="0.25">
      <c r="A86" s="113">
        <v>6</v>
      </c>
      <c r="B86" s="49">
        <v>200</v>
      </c>
      <c r="C86" s="49">
        <v>5.5010000000000003</v>
      </c>
      <c r="D86" s="78">
        <f t="shared" si="3"/>
        <v>2.7505000000000002E-2</v>
      </c>
      <c r="E86" s="166"/>
      <c r="F86" s="166"/>
    </row>
    <row r="87" spans="1:18" x14ac:dyDescent="0.25">
      <c r="A87" s="113">
        <v>7</v>
      </c>
      <c r="B87" s="49"/>
      <c r="C87" s="49"/>
      <c r="D87" s="78" t="str">
        <f t="shared" si="3"/>
        <v/>
      </c>
      <c r="E87" s="166"/>
      <c r="F87" s="166"/>
    </row>
    <row r="88" spans="1:18" x14ac:dyDescent="0.25">
      <c r="A88" s="121">
        <v>8</v>
      </c>
      <c r="B88" s="50"/>
      <c r="C88" s="50"/>
      <c r="D88" s="79" t="str">
        <f t="shared" si="3"/>
        <v/>
      </c>
      <c r="E88" s="167"/>
      <c r="F88" s="167"/>
    </row>
    <row r="89" spans="1:18" x14ac:dyDescent="0.25">
      <c r="A89" s="174"/>
      <c r="B89" s="43"/>
      <c r="C89" s="43"/>
      <c r="D89" s="44"/>
      <c r="E89" s="43"/>
      <c r="F89" s="43"/>
    </row>
    <row r="91" spans="1:18" ht="18.75" x14ac:dyDescent="0.3">
      <c r="A91" s="116" t="s">
        <v>340</v>
      </c>
      <c r="B91" s="117"/>
      <c r="C91" s="117"/>
      <c r="D91" s="117"/>
      <c r="E91" s="117"/>
      <c r="F91" s="117"/>
      <c r="G91" s="117"/>
      <c r="H91" s="117"/>
      <c r="I91" s="117"/>
      <c r="J91" s="137"/>
      <c r="K91" s="137"/>
      <c r="L91" s="137"/>
      <c r="M91" s="137"/>
      <c r="N91" s="137"/>
      <c r="O91" s="137"/>
      <c r="P91" s="137"/>
      <c r="Q91" s="137"/>
      <c r="R91" s="137"/>
    </row>
    <row r="93" spans="1:18" x14ac:dyDescent="0.25">
      <c r="A93" s="150" t="s">
        <v>419</v>
      </c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38" t="s">
        <v>421</v>
      </c>
      <c r="N93" s="139"/>
      <c r="O93" s="139"/>
      <c r="P93" s="139"/>
      <c r="Q93" s="139"/>
      <c r="R93" s="139"/>
    </row>
    <row r="94" spans="1:18" x14ac:dyDescent="0.25">
      <c r="A94" s="141" t="s">
        <v>307</v>
      </c>
      <c r="B94" s="119" t="s">
        <v>65</v>
      </c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553"/>
      <c r="N94" s="554"/>
      <c r="O94" s="554"/>
      <c r="P94" s="554"/>
      <c r="Q94" s="554"/>
      <c r="R94" s="555"/>
    </row>
    <row r="95" spans="1:18" x14ac:dyDescent="0.25">
      <c r="A95" s="577" t="s">
        <v>560</v>
      </c>
      <c r="B95" s="711" t="s">
        <v>668</v>
      </c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641"/>
      <c r="N95" s="642"/>
      <c r="O95" s="642"/>
      <c r="P95" s="642"/>
      <c r="Q95" s="642"/>
      <c r="R95" s="643"/>
    </row>
    <row r="96" spans="1:18" x14ac:dyDescent="0.25">
      <c r="A96" s="164" t="s">
        <v>308</v>
      </c>
      <c r="B96" s="269" t="s">
        <v>537</v>
      </c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556"/>
      <c r="N96" s="557"/>
      <c r="O96" s="557"/>
      <c r="P96" s="557"/>
      <c r="Q96" s="557"/>
      <c r="R96" s="558"/>
    </row>
    <row r="97" spans="1:22" x14ac:dyDescent="0.25">
      <c r="A97" s="159" t="s">
        <v>76</v>
      </c>
      <c r="B97" s="145" t="s">
        <v>589</v>
      </c>
      <c r="C97" s="168"/>
      <c r="D97" s="120"/>
      <c r="E97" s="120"/>
      <c r="F97" s="120"/>
      <c r="G97" s="120"/>
      <c r="H97" s="120"/>
      <c r="I97" s="120"/>
      <c r="J97" s="120"/>
      <c r="K97" s="120"/>
      <c r="L97" s="120"/>
      <c r="M97" s="556"/>
      <c r="N97" s="557"/>
      <c r="O97" s="557"/>
      <c r="P97" s="557"/>
      <c r="Q97" s="557"/>
      <c r="R97" s="558"/>
    </row>
    <row r="98" spans="1:22" x14ac:dyDescent="0.25">
      <c r="A98" s="159"/>
      <c r="B98" s="145" t="s">
        <v>591</v>
      </c>
      <c r="C98" s="168"/>
      <c r="D98" s="120"/>
      <c r="E98" s="120"/>
      <c r="F98" s="120"/>
      <c r="G98" s="120"/>
      <c r="H98" s="120"/>
      <c r="I98" s="120"/>
      <c r="J98" s="120"/>
      <c r="K98" s="120"/>
      <c r="L98" s="120"/>
      <c r="M98" s="556"/>
      <c r="N98" s="557"/>
      <c r="O98" s="557"/>
      <c r="P98" s="557"/>
      <c r="Q98" s="557"/>
      <c r="R98" s="558"/>
    </row>
    <row r="99" spans="1:22" x14ac:dyDescent="0.25">
      <c r="A99" s="159"/>
      <c r="B99" s="120" t="s">
        <v>418</v>
      </c>
      <c r="C99" s="168"/>
      <c r="D99" s="120"/>
      <c r="E99" s="120"/>
      <c r="F99" s="120"/>
      <c r="G99" s="120"/>
      <c r="H99" s="120"/>
      <c r="I99" s="120"/>
      <c r="J99" s="120"/>
      <c r="K99" s="120"/>
      <c r="L99" s="120"/>
      <c r="M99" s="556"/>
      <c r="N99" s="557"/>
      <c r="O99" s="557"/>
      <c r="P99" s="557"/>
      <c r="Q99" s="557"/>
      <c r="R99" s="558"/>
    </row>
    <row r="100" spans="1:22" x14ac:dyDescent="0.25">
      <c r="A100" s="159"/>
      <c r="B100" s="145" t="s">
        <v>515</v>
      </c>
      <c r="C100" s="168"/>
      <c r="D100" s="120"/>
      <c r="E100" s="120"/>
      <c r="F100" s="120"/>
      <c r="G100" s="120"/>
      <c r="H100" s="120"/>
      <c r="I100" s="120"/>
      <c r="J100" s="120"/>
      <c r="K100" s="120"/>
      <c r="L100" s="120"/>
      <c r="M100" s="571"/>
      <c r="N100" s="572"/>
      <c r="O100" s="572"/>
      <c r="P100" s="572"/>
      <c r="Q100" s="572"/>
      <c r="R100" s="573"/>
    </row>
    <row r="101" spans="1:22" x14ac:dyDescent="0.25">
      <c r="A101" s="160" t="s">
        <v>100</v>
      </c>
      <c r="B101" s="175" t="s">
        <v>278</v>
      </c>
      <c r="C101" s="175"/>
      <c r="D101" s="122"/>
      <c r="E101" s="122"/>
      <c r="F101" s="122"/>
      <c r="G101" s="122"/>
      <c r="H101" s="122"/>
      <c r="I101" s="122"/>
      <c r="J101" s="122"/>
      <c r="K101" s="122"/>
      <c r="L101" s="122"/>
      <c r="M101" s="574"/>
      <c r="N101" s="543"/>
      <c r="O101" s="543"/>
      <c r="P101" s="543"/>
      <c r="Q101" s="543"/>
      <c r="R101" s="575"/>
    </row>
    <row r="102" spans="1:22" x14ac:dyDescent="0.25">
      <c r="A102" s="145"/>
      <c r="B102" s="168"/>
      <c r="C102" s="168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</row>
    <row r="103" spans="1:22" x14ac:dyDescent="0.25">
      <c r="A103" s="150" t="s">
        <v>420</v>
      </c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</row>
    <row r="104" spans="1:22" x14ac:dyDescent="0.25">
      <c r="A104" s="145"/>
      <c r="B104" s="168"/>
      <c r="C104" s="168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</row>
    <row r="105" spans="1:22" x14ac:dyDescent="0.25">
      <c r="A105" s="176" t="s">
        <v>357</v>
      </c>
      <c r="G105" s="176" t="s">
        <v>358</v>
      </c>
      <c r="M105" s="176" t="s">
        <v>359</v>
      </c>
      <c r="T105" s="145"/>
      <c r="U105" s="145"/>
      <c r="V105" s="145"/>
    </row>
    <row r="106" spans="1:22" x14ac:dyDescent="0.25">
      <c r="A106" s="1" t="s">
        <v>171</v>
      </c>
      <c r="B106" s="142" t="s">
        <v>312</v>
      </c>
      <c r="C106" s="142"/>
      <c r="D106" s="142"/>
      <c r="E106" s="142"/>
      <c r="F106" s="177"/>
      <c r="G106" s="1" t="s">
        <v>172</v>
      </c>
      <c r="H106" s="142" t="s">
        <v>312</v>
      </c>
      <c r="I106" s="142"/>
      <c r="J106" s="142"/>
      <c r="K106" s="142"/>
      <c r="L106" s="177"/>
      <c r="M106" s="1" t="s">
        <v>175</v>
      </c>
      <c r="N106" s="142" t="s">
        <v>360</v>
      </c>
      <c r="O106" s="119"/>
      <c r="P106" s="119"/>
      <c r="Q106" s="119"/>
      <c r="R106" s="143"/>
      <c r="T106" s="145"/>
      <c r="U106" s="145"/>
      <c r="V106" s="145"/>
    </row>
    <row r="107" spans="1:22" x14ac:dyDescent="0.25">
      <c r="A107" s="9">
        <v>620</v>
      </c>
      <c r="B107" s="269" t="s">
        <v>416</v>
      </c>
      <c r="C107" s="120"/>
      <c r="D107" s="120"/>
      <c r="E107" s="120"/>
      <c r="F107" s="146"/>
      <c r="G107" s="9">
        <v>620</v>
      </c>
      <c r="H107" s="269" t="s">
        <v>416</v>
      </c>
      <c r="I107" s="120"/>
      <c r="J107" s="120"/>
      <c r="K107" s="120"/>
      <c r="L107" s="146"/>
      <c r="M107" s="9">
        <v>620</v>
      </c>
      <c r="N107" s="269" t="s">
        <v>416</v>
      </c>
      <c r="O107" s="120"/>
      <c r="P107" s="120"/>
      <c r="Q107" s="120"/>
      <c r="R107" s="146"/>
      <c r="T107" s="145"/>
      <c r="U107" s="145"/>
      <c r="V107" s="145"/>
    </row>
    <row r="108" spans="1:22" x14ac:dyDescent="0.25">
      <c r="A108" s="152" t="s">
        <v>5</v>
      </c>
      <c r="B108" s="152" t="s">
        <v>361</v>
      </c>
      <c r="C108" s="153" t="s">
        <v>2</v>
      </c>
      <c r="D108" s="153" t="s">
        <v>2</v>
      </c>
      <c r="E108" s="153" t="s">
        <v>2</v>
      </c>
      <c r="F108" s="153" t="s">
        <v>11</v>
      </c>
      <c r="G108" s="152" t="s">
        <v>5</v>
      </c>
      <c r="H108" s="152" t="s">
        <v>361</v>
      </c>
      <c r="I108" s="153" t="s">
        <v>2</v>
      </c>
      <c r="J108" s="153" t="s">
        <v>2</v>
      </c>
      <c r="K108" s="153" t="s">
        <v>2</v>
      </c>
      <c r="L108" s="153" t="s">
        <v>11</v>
      </c>
      <c r="M108" s="152" t="s">
        <v>5</v>
      </c>
      <c r="N108" s="152" t="s">
        <v>361</v>
      </c>
      <c r="O108" s="153" t="s">
        <v>2</v>
      </c>
      <c r="P108" s="153" t="s">
        <v>2</v>
      </c>
      <c r="Q108" s="153" t="s">
        <v>2</v>
      </c>
      <c r="R108" s="153" t="s">
        <v>11</v>
      </c>
      <c r="T108" s="581"/>
    </row>
    <row r="109" spans="1:22" x14ac:dyDescent="0.25">
      <c r="A109" s="154"/>
      <c r="B109" s="154"/>
      <c r="C109" s="155" t="s">
        <v>8</v>
      </c>
      <c r="D109" s="155" t="s">
        <v>313</v>
      </c>
      <c r="E109" s="155" t="s">
        <v>10</v>
      </c>
      <c r="F109" s="155" t="s">
        <v>13</v>
      </c>
      <c r="G109" s="154"/>
      <c r="H109" s="154"/>
      <c r="I109" s="155" t="s">
        <v>8</v>
      </c>
      <c r="J109" s="155" t="s">
        <v>9</v>
      </c>
      <c r="K109" s="155" t="s">
        <v>10</v>
      </c>
      <c r="L109" s="155" t="s">
        <v>13</v>
      </c>
      <c r="M109" s="154"/>
      <c r="N109" s="154"/>
      <c r="O109" s="155" t="s">
        <v>8</v>
      </c>
      <c r="P109" s="155" t="s">
        <v>313</v>
      </c>
      <c r="Q109" s="155" t="s">
        <v>10</v>
      </c>
      <c r="R109" s="155" t="s">
        <v>13</v>
      </c>
      <c r="T109" s="582"/>
      <c r="V109" s="581"/>
    </row>
    <row r="110" spans="1:22" x14ac:dyDescent="0.25">
      <c r="A110" s="154"/>
      <c r="B110" s="154"/>
      <c r="C110" s="155"/>
      <c r="D110" s="155"/>
      <c r="E110" s="533" t="s">
        <v>6</v>
      </c>
      <c r="F110" s="155"/>
      <c r="G110" s="154"/>
      <c r="H110" s="154"/>
      <c r="I110" s="155"/>
      <c r="J110" s="155"/>
      <c r="K110" s="533" t="s">
        <v>6</v>
      </c>
      <c r="L110" s="155"/>
      <c r="M110" s="154"/>
      <c r="N110" s="154"/>
      <c r="O110" s="155"/>
      <c r="P110" s="155"/>
      <c r="Q110" s="533" t="s">
        <v>6</v>
      </c>
      <c r="R110" s="155"/>
      <c r="T110" s="581"/>
    </row>
    <row r="111" spans="1:22" x14ac:dyDescent="0.25">
      <c r="A111" s="156"/>
      <c r="B111" s="156" t="s">
        <v>344</v>
      </c>
      <c r="C111" s="156" t="s">
        <v>310</v>
      </c>
      <c r="D111" s="156" t="s">
        <v>310</v>
      </c>
      <c r="E111" s="156" t="s">
        <v>329</v>
      </c>
      <c r="F111" s="156" t="s">
        <v>322</v>
      </c>
      <c r="G111" s="156"/>
      <c r="H111" s="156" t="s">
        <v>344</v>
      </c>
      <c r="I111" s="156" t="s">
        <v>310</v>
      </c>
      <c r="J111" s="156" t="s">
        <v>310</v>
      </c>
      <c r="K111" s="156" t="s">
        <v>329</v>
      </c>
      <c r="L111" s="156" t="s">
        <v>322</v>
      </c>
      <c r="M111" s="156"/>
      <c r="N111" s="156" t="s">
        <v>344</v>
      </c>
      <c r="O111" s="156" t="s">
        <v>310</v>
      </c>
      <c r="P111" s="156" t="s">
        <v>310</v>
      </c>
      <c r="Q111" s="156" t="s">
        <v>329</v>
      </c>
      <c r="R111" s="156" t="s">
        <v>322</v>
      </c>
    </row>
    <row r="112" spans="1:22" x14ac:dyDescent="0.25">
      <c r="A112" s="18">
        <v>1</v>
      </c>
      <c r="B112" s="18">
        <v>24</v>
      </c>
      <c r="C112" s="583"/>
      <c r="D112" s="583"/>
      <c r="E112" s="21" t="str">
        <f>IF(OR(C112="",D112="",$A$107=""),"",(D112-C112)/50)</f>
        <v/>
      </c>
      <c r="F112" s="51"/>
      <c r="G112" s="18">
        <v>1</v>
      </c>
      <c r="H112" s="18">
        <v>24</v>
      </c>
      <c r="I112" s="583"/>
      <c r="J112" s="583"/>
      <c r="K112" s="21" t="str">
        <f>IF(OR(I112="",J112="",$G$107=""),"",(J112-I112)/50)</f>
        <v/>
      </c>
      <c r="L112" s="51"/>
      <c r="M112" s="18">
        <v>1</v>
      </c>
      <c r="N112" s="18">
        <v>24</v>
      </c>
      <c r="O112" s="583"/>
      <c r="P112" s="583"/>
      <c r="Q112" s="21" t="str">
        <f>IF(OR(O112="",P112="",$M$107=""),"",(P112-O112)/50)</f>
        <v/>
      </c>
      <c r="R112" s="51"/>
    </row>
    <row r="113" spans="1:18" x14ac:dyDescent="0.25">
      <c r="A113" s="113">
        <v>2</v>
      </c>
      <c r="B113" s="113">
        <v>25</v>
      </c>
      <c r="C113" s="584"/>
      <c r="D113" s="584"/>
      <c r="E113" s="22" t="str">
        <f t="shared" ref="E113:E123" si="4">IF(OR(C113="",D113="",$A$107=""),"",(D113-C113)/50)</f>
        <v/>
      </c>
      <c r="F113" s="52"/>
      <c r="G113" s="113">
        <v>2</v>
      </c>
      <c r="H113" s="113">
        <v>25</v>
      </c>
      <c r="I113" s="584"/>
      <c r="J113" s="584"/>
      <c r="K113" s="22" t="str">
        <f t="shared" ref="K113:K123" si="5">IF(OR(I113="",J113="",$G$107=""),"",(J113-I113)/50)</f>
        <v/>
      </c>
      <c r="L113" s="52"/>
      <c r="M113" s="113">
        <v>2</v>
      </c>
      <c r="N113" s="113">
        <v>25</v>
      </c>
      <c r="O113" s="584"/>
      <c r="P113" s="584"/>
      <c r="Q113" s="22" t="str">
        <f t="shared" ref="Q113:Q123" si="6">IF(OR(O113="",P113="",$M$107=""),"",(P113-O113)/50)</f>
        <v/>
      </c>
      <c r="R113" s="52"/>
    </row>
    <row r="114" spans="1:18" x14ac:dyDescent="0.25">
      <c r="A114" s="113">
        <v>3</v>
      </c>
      <c r="B114" s="113">
        <v>26</v>
      </c>
      <c r="C114" s="584">
        <v>1.1140000000000001</v>
      </c>
      <c r="D114" s="584">
        <v>2.2389999999999999</v>
      </c>
      <c r="E114" s="22">
        <f>IF(OR(C114="",D114="",$A$107=""),"",(D114-C114)/50)</f>
        <v>2.2499999999999996E-2</v>
      </c>
      <c r="F114" s="52">
        <v>0.54100000000000004</v>
      </c>
      <c r="G114" s="113">
        <v>3</v>
      </c>
      <c r="H114" s="113">
        <v>26</v>
      </c>
      <c r="I114" s="584"/>
      <c r="J114" s="584"/>
      <c r="K114" s="22" t="str">
        <f t="shared" si="5"/>
        <v/>
      </c>
      <c r="L114" s="52"/>
      <c r="M114" s="113">
        <v>3</v>
      </c>
      <c r="N114" s="113">
        <v>26</v>
      </c>
      <c r="O114" s="584"/>
      <c r="P114" s="584"/>
      <c r="Q114" s="22" t="str">
        <f t="shared" si="6"/>
        <v/>
      </c>
      <c r="R114" s="52"/>
    </row>
    <row r="115" spans="1:18" x14ac:dyDescent="0.25">
      <c r="A115" s="113">
        <v>4</v>
      </c>
      <c r="B115" s="113">
        <v>27</v>
      </c>
      <c r="C115" s="584">
        <v>1.2410000000000001</v>
      </c>
      <c r="D115" s="584">
        <v>2.5019999999999998</v>
      </c>
      <c r="E115" s="22">
        <f t="shared" si="4"/>
        <v>2.5219999999999992E-2</v>
      </c>
      <c r="F115" s="52">
        <v>0.55200000000000005</v>
      </c>
      <c r="G115" s="113">
        <v>4</v>
      </c>
      <c r="H115" s="113">
        <v>27</v>
      </c>
      <c r="I115" s="584"/>
      <c r="J115" s="584"/>
      <c r="K115" s="22" t="str">
        <f t="shared" si="5"/>
        <v/>
      </c>
      <c r="L115" s="52"/>
      <c r="M115" s="113">
        <v>4</v>
      </c>
      <c r="N115" s="113">
        <v>27</v>
      </c>
      <c r="O115" s="584"/>
      <c r="P115" s="584"/>
      <c r="Q115" s="22" t="str">
        <f t="shared" si="6"/>
        <v/>
      </c>
      <c r="R115" s="52"/>
    </row>
    <row r="116" spans="1:18" x14ac:dyDescent="0.25">
      <c r="A116" s="113">
        <v>5</v>
      </c>
      <c r="B116" s="113">
        <v>28</v>
      </c>
      <c r="C116" s="584">
        <v>1.369</v>
      </c>
      <c r="D116" s="52">
        <v>2.75</v>
      </c>
      <c r="E116" s="22">
        <f t="shared" si="4"/>
        <v>2.7619999999999999E-2</v>
      </c>
      <c r="F116" s="52">
        <v>0.56499999999999995</v>
      </c>
      <c r="G116" s="113">
        <v>5</v>
      </c>
      <c r="H116" s="113">
        <v>28</v>
      </c>
      <c r="I116" s="584"/>
      <c r="J116" s="584"/>
      <c r="K116" s="22" t="str">
        <f t="shared" si="5"/>
        <v/>
      </c>
      <c r="L116" s="52"/>
      <c r="M116" s="113">
        <v>5</v>
      </c>
      <c r="N116" s="113">
        <v>28</v>
      </c>
      <c r="O116" s="584"/>
      <c r="P116" s="584"/>
      <c r="Q116" s="22" t="str">
        <f t="shared" si="6"/>
        <v/>
      </c>
      <c r="R116" s="52"/>
    </row>
    <row r="117" spans="1:18" x14ac:dyDescent="0.25">
      <c r="A117" s="113">
        <v>6</v>
      </c>
      <c r="B117" s="113">
        <v>29</v>
      </c>
      <c r="C117" s="584">
        <v>1.4990000000000001</v>
      </c>
      <c r="D117" s="52">
        <v>3</v>
      </c>
      <c r="E117" s="22">
        <f t="shared" si="4"/>
        <v>3.0019999999999998E-2</v>
      </c>
      <c r="F117" s="52">
        <v>0.57099999999999995</v>
      </c>
      <c r="G117" s="113">
        <v>6</v>
      </c>
      <c r="H117" s="113">
        <v>29</v>
      </c>
      <c r="I117" s="584"/>
      <c r="J117" s="584"/>
      <c r="K117" s="22" t="str">
        <f t="shared" si="5"/>
        <v/>
      </c>
      <c r="L117" s="52"/>
      <c r="M117" s="113">
        <v>6</v>
      </c>
      <c r="N117" s="113">
        <v>29</v>
      </c>
      <c r="O117" s="584"/>
      <c r="P117" s="584"/>
      <c r="Q117" s="22" t="str">
        <f t="shared" si="6"/>
        <v/>
      </c>
      <c r="R117" s="52"/>
    </row>
    <row r="118" spans="1:18" x14ac:dyDescent="0.25">
      <c r="A118" s="113">
        <v>7</v>
      </c>
      <c r="B118" s="113">
        <v>30</v>
      </c>
      <c r="C118" s="584">
        <v>1.6240000000000001</v>
      </c>
      <c r="D118" s="584">
        <v>3.246</v>
      </c>
      <c r="E118" s="22">
        <f t="shared" si="4"/>
        <v>3.2439999999999997E-2</v>
      </c>
      <c r="F118" s="52">
        <v>0.58099999999999996</v>
      </c>
      <c r="G118" s="113">
        <v>7</v>
      </c>
      <c r="H118" s="113">
        <v>30</v>
      </c>
      <c r="I118" s="584"/>
      <c r="J118" s="584"/>
      <c r="K118" s="22" t="str">
        <f t="shared" si="5"/>
        <v/>
      </c>
      <c r="L118" s="52"/>
      <c r="M118" s="113">
        <v>7</v>
      </c>
      <c r="N118" s="113">
        <v>30</v>
      </c>
      <c r="O118" s="584"/>
      <c r="P118" s="584"/>
      <c r="Q118" s="22" t="str">
        <f t="shared" si="6"/>
        <v/>
      </c>
      <c r="R118" s="52"/>
    </row>
    <row r="119" spans="1:18" x14ac:dyDescent="0.25">
      <c r="A119" s="113">
        <v>8</v>
      </c>
      <c r="B119" s="113">
        <v>31</v>
      </c>
      <c r="C119" s="52">
        <v>1.75</v>
      </c>
      <c r="D119" s="584">
        <v>3.5059999999999998</v>
      </c>
      <c r="E119" s="22">
        <f t="shared" si="4"/>
        <v>3.5119999999999998E-2</v>
      </c>
      <c r="F119" s="52">
        <v>0.58499999999999996</v>
      </c>
      <c r="G119" s="113">
        <v>8</v>
      </c>
      <c r="H119" s="113">
        <v>31</v>
      </c>
      <c r="I119" s="584"/>
      <c r="J119" s="584"/>
      <c r="K119" s="22" t="str">
        <f t="shared" si="5"/>
        <v/>
      </c>
      <c r="L119" s="52"/>
      <c r="M119" s="113">
        <v>8</v>
      </c>
      <c r="N119" s="113">
        <v>31</v>
      </c>
      <c r="O119" s="584"/>
      <c r="P119" s="584"/>
      <c r="Q119" s="22" t="str">
        <f t="shared" si="6"/>
        <v/>
      </c>
      <c r="R119" s="52"/>
    </row>
    <row r="120" spans="1:18" x14ac:dyDescent="0.25">
      <c r="A120" s="113">
        <v>9</v>
      </c>
      <c r="B120" s="113">
        <v>32</v>
      </c>
      <c r="C120" s="584">
        <v>1.8779999999999999</v>
      </c>
      <c r="D120" s="584">
        <v>3.754</v>
      </c>
      <c r="E120" s="22">
        <f t="shared" si="4"/>
        <v>3.7520000000000005E-2</v>
      </c>
      <c r="F120" s="52">
        <v>0.59699999999999998</v>
      </c>
      <c r="G120" s="113">
        <v>9</v>
      </c>
      <c r="H120" s="113">
        <v>32</v>
      </c>
      <c r="I120" s="584"/>
      <c r="J120" s="584"/>
      <c r="K120" s="22" t="str">
        <f t="shared" si="5"/>
        <v/>
      </c>
      <c r="L120" s="52"/>
      <c r="M120" s="113">
        <v>9</v>
      </c>
      <c r="N120" s="113">
        <v>32</v>
      </c>
      <c r="O120" s="584"/>
      <c r="P120" s="584"/>
      <c r="Q120" s="22" t="str">
        <f t="shared" si="6"/>
        <v/>
      </c>
      <c r="R120" s="52"/>
    </row>
    <row r="121" spans="1:18" x14ac:dyDescent="0.25">
      <c r="A121" s="113">
        <v>10</v>
      </c>
      <c r="B121" s="113">
        <v>33</v>
      </c>
      <c r="C121" s="584"/>
      <c r="D121" s="584"/>
      <c r="E121" s="22" t="str">
        <f t="shared" si="4"/>
        <v/>
      </c>
      <c r="F121" s="52"/>
      <c r="G121" s="113">
        <v>10</v>
      </c>
      <c r="H121" s="113">
        <v>33</v>
      </c>
      <c r="I121" s="584"/>
      <c r="J121" s="584"/>
      <c r="K121" s="22" t="str">
        <f t="shared" si="5"/>
        <v/>
      </c>
      <c r="L121" s="52"/>
      <c r="M121" s="113">
        <v>10</v>
      </c>
      <c r="N121" s="113">
        <v>33</v>
      </c>
      <c r="O121" s="584"/>
      <c r="P121" s="584"/>
      <c r="Q121" s="22" t="str">
        <f t="shared" si="6"/>
        <v/>
      </c>
      <c r="R121" s="52"/>
    </row>
    <row r="122" spans="1:18" x14ac:dyDescent="0.25">
      <c r="A122" s="113">
        <v>11</v>
      </c>
      <c r="B122" s="113">
        <v>34</v>
      </c>
      <c r="C122" s="584"/>
      <c r="D122" s="584"/>
      <c r="E122" s="22" t="str">
        <f t="shared" si="4"/>
        <v/>
      </c>
      <c r="F122" s="52"/>
      <c r="G122" s="113">
        <v>11</v>
      </c>
      <c r="H122" s="113">
        <v>34</v>
      </c>
      <c r="I122" s="584"/>
      <c r="J122" s="584"/>
      <c r="K122" s="22" t="str">
        <f t="shared" si="5"/>
        <v/>
      </c>
      <c r="L122" s="52"/>
      <c r="M122" s="113">
        <v>11</v>
      </c>
      <c r="N122" s="113">
        <v>34</v>
      </c>
      <c r="O122" s="584"/>
      <c r="P122" s="584"/>
      <c r="Q122" s="22" t="str">
        <f t="shared" si="6"/>
        <v/>
      </c>
      <c r="R122" s="52"/>
    </row>
    <row r="123" spans="1:18" x14ac:dyDescent="0.25">
      <c r="A123" s="121">
        <v>12</v>
      </c>
      <c r="B123" s="121">
        <v>35</v>
      </c>
      <c r="C123" s="585"/>
      <c r="D123" s="585"/>
      <c r="E123" s="23" t="str">
        <f t="shared" si="4"/>
        <v/>
      </c>
      <c r="F123" s="53"/>
      <c r="G123" s="121">
        <v>12</v>
      </c>
      <c r="H123" s="121">
        <v>35</v>
      </c>
      <c r="I123" s="585"/>
      <c r="J123" s="585"/>
      <c r="K123" s="23" t="str">
        <f t="shared" si="5"/>
        <v/>
      </c>
      <c r="L123" s="53"/>
      <c r="M123" s="121">
        <v>12</v>
      </c>
      <c r="N123" s="121">
        <v>35</v>
      </c>
      <c r="O123" s="585"/>
      <c r="P123" s="585"/>
      <c r="Q123" s="23" t="str">
        <f t="shared" si="6"/>
        <v/>
      </c>
      <c r="R123" s="53"/>
    </row>
    <row r="124" spans="1:18" x14ac:dyDescent="0.25">
      <c r="A124" s="174"/>
      <c r="B124" s="174"/>
      <c r="C124" s="43"/>
      <c r="D124" s="178"/>
      <c r="E124" s="44"/>
      <c r="F124" s="44"/>
      <c r="G124" s="43"/>
      <c r="H124" s="43"/>
      <c r="I124" s="43"/>
      <c r="J124" s="178"/>
      <c r="K124" s="44"/>
      <c r="L124" s="44"/>
      <c r="M124" s="43"/>
      <c r="N124" s="43"/>
      <c r="O124" s="43"/>
      <c r="P124" s="178"/>
      <c r="Q124" s="44"/>
      <c r="R124" s="44"/>
    </row>
    <row r="125" spans="1:18" x14ac:dyDescent="0.25">
      <c r="A125" s="174"/>
      <c r="B125" s="174"/>
      <c r="C125" s="43"/>
      <c r="D125" s="178"/>
      <c r="E125" s="44"/>
      <c r="F125" s="44"/>
      <c r="G125" s="43"/>
      <c r="H125" s="43"/>
      <c r="I125" s="43"/>
      <c r="J125" s="178"/>
      <c r="K125" s="44"/>
      <c r="L125" s="44"/>
      <c r="M125" s="43"/>
      <c r="N125" s="43"/>
      <c r="O125" s="43"/>
      <c r="P125" s="178"/>
      <c r="Q125" s="44"/>
      <c r="R125" s="44"/>
    </row>
    <row r="126" spans="1:18" x14ac:dyDescent="0.25">
      <c r="A126" s="174"/>
      <c r="B126" s="174"/>
      <c r="C126" s="43"/>
      <c r="D126" s="178"/>
      <c r="E126" s="44"/>
      <c r="F126" s="44"/>
      <c r="G126" s="43"/>
      <c r="H126" s="43"/>
      <c r="I126" s="43"/>
      <c r="J126" s="178"/>
      <c r="K126" s="44"/>
      <c r="L126" s="44"/>
      <c r="M126" s="43"/>
      <c r="N126" s="43"/>
      <c r="O126" s="43"/>
      <c r="P126" s="178"/>
      <c r="Q126" s="44"/>
      <c r="R126" s="44"/>
    </row>
    <row r="127" spans="1:18" x14ac:dyDescent="0.25">
      <c r="A127" s="174"/>
      <c r="B127" s="174"/>
      <c r="C127" s="43"/>
      <c r="D127" s="178"/>
      <c r="E127" s="44"/>
      <c r="F127" s="44"/>
      <c r="G127" s="43"/>
      <c r="H127" s="43"/>
      <c r="I127" s="43"/>
      <c r="J127" s="178"/>
      <c r="K127" s="44"/>
      <c r="L127" s="44"/>
      <c r="M127" s="43"/>
      <c r="N127" s="43"/>
      <c r="O127" s="43"/>
      <c r="P127" s="178"/>
      <c r="Q127" s="44"/>
      <c r="R127" s="44"/>
    </row>
    <row r="128" spans="1:18" x14ac:dyDescent="0.25">
      <c r="A128" s="174"/>
      <c r="B128" s="174"/>
      <c r="C128" s="43"/>
      <c r="D128" s="178"/>
      <c r="E128" s="44"/>
      <c r="F128" s="44"/>
      <c r="G128" s="43"/>
      <c r="H128" s="43"/>
      <c r="I128" s="43"/>
      <c r="J128" s="178"/>
      <c r="K128" s="44"/>
      <c r="L128" s="44"/>
      <c r="M128" s="43"/>
      <c r="N128" s="43"/>
      <c r="O128" s="43"/>
      <c r="P128" s="178"/>
      <c r="Q128" s="44"/>
      <c r="R128" s="44"/>
    </row>
    <row r="129" spans="1:18" x14ac:dyDescent="0.25">
      <c r="A129" s="174"/>
      <c r="B129" s="174"/>
      <c r="C129" s="43"/>
      <c r="D129" s="178"/>
      <c r="E129" s="44"/>
      <c r="F129" s="44"/>
      <c r="G129" s="43"/>
      <c r="H129" s="43"/>
      <c r="I129" s="43"/>
      <c r="J129" s="178"/>
      <c r="K129" s="44"/>
      <c r="L129" s="44"/>
      <c r="M129" s="43"/>
      <c r="N129" s="43"/>
      <c r="O129" s="43"/>
      <c r="P129" s="178"/>
      <c r="Q129" s="44"/>
      <c r="R129" s="44"/>
    </row>
    <row r="130" spans="1:18" x14ac:dyDescent="0.25">
      <c r="A130" s="174"/>
      <c r="B130" s="174"/>
      <c r="C130" s="43"/>
      <c r="D130" s="178"/>
      <c r="E130" s="44"/>
      <c r="F130" s="44"/>
      <c r="G130" s="43"/>
      <c r="H130" s="43"/>
      <c r="I130" s="43"/>
      <c r="J130" s="178"/>
      <c r="K130" s="44"/>
      <c r="L130" s="44"/>
      <c r="M130" s="43"/>
      <c r="N130" s="43"/>
      <c r="O130" s="43"/>
      <c r="P130" s="178"/>
      <c r="Q130" s="44"/>
      <c r="R130" s="44"/>
    </row>
    <row r="131" spans="1:18" x14ac:dyDescent="0.25">
      <c r="A131" s="174"/>
      <c r="B131" s="174"/>
      <c r="C131" s="43"/>
      <c r="D131" s="178"/>
      <c r="E131" s="44"/>
      <c r="F131" s="44"/>
      <c r="G131" s="43"/>
      <c r="H131" s="43"/>
      <c r="I131" s="43"/>
      <c r="J131" s="178"/>
      <c r="K131" s="44"/>
      <c r="L131" s="44"/>
      <c r="M131" s="43"/>
      <c r="N131" s="43"/>
      <c r="O131" s="43"/>
      <c r="P131" s="178"/>
      <c r="Q131" s="44"/>
      <c r="R131" s="44"/>
    </row>
    <row r="132" spans="1:18" x14ac:dyDescent="0.25">
      <c r="A132" s="174"/>
      <c r="B132" s="174"/>
      <c r="C132" s="43"/>
      <c r="D132" s="178"/>
      <c r="E132" s="44"/>
      <c r="F132" s="44"/>
      <c r="G132" s="43"/>
      <c r="H132" s="43"/>
      <c r="I132" s="43"/>
      <c r="J132" s="178"/>
      <c r="K132" s="44"/>
      <c r="L132" s="44"/>
      <c r="M132" s="43"/>
      <c r="N132" s="43"/>
      <c r="O132" s="43"/>
      <c r="P132" s="178"/>
      <c r="Q132" s="44"/>
      <c r="R132" s="44"/>
    </row>
    <row r="133" spans="1:18" x14ac:dyDescent="0.25">
      <c r="A133" s="174"/>
      <c r="B133" s="174"/>
      <c r="C133" s="43"/>
      <c r="D133" s="178"/>
      <c r="E133" s="44"/>
      <c r="F133" s="44"/>
      <c r="G133" s="43"/>
      <c r="H133" s="43"/>
      <c r="I133" s="43"/>
      <c r="J133" s="178"/>
      <c r="K133" s="44"/>
      <c r="L133" s="44"/>
      <c r="M133" s="43"/>
      <c r="N133" s="43"/>
      <c r="O133" s="43"/>
      <c r="P133" s="178"/>
      <c r="Q133" s="44"/>
      <c r="R133" s="44"/>
    </row>
    <row r="134" spans="1:18" x14ac:dyDescent="0.25">
      <c r="A134" s="174"/>
      <c r="B134" s="174"/>
      <c r="C134" s="43"/>
      <c r="D134" s="178"/>
      <c r="E134" s="44"/>
      <c r="F134" s="44"/>
      <c r="G134" s="43"/>
      <c r="H134" s="43"/>
      <c r="I134" s="43"/>
      <c r="J134" s="178"/>
      <c r="K134" s="44"/>
      <c r="L134" s="44"/>
      <c r="M134" s="43"/>
      <c r="N134" s="43"/>
      <c r="O134" s="43"/>
      <c r="P134" s="178"/>
      <c r="Q134" s="44"/>
      <c r="R134" s="44"/>
    </row>
    <row r="135" spans="1:18" x14ac:dyDescent="0.25">
      <c r="A135" s="174"/>
      <c r="B135" s="174"/>
      <c r="C135" s="43"/>
      <c r="D135" s="178"/>
      <c r="E135" s="44"/>
      <c r="F135" s="44"/>
      <c r="G135" s="43"/>
      <c r="H135" s="43"/>
      <c r="I135" s="43"/>
      <c r="J135" s="178"/>
      <c r="K135" s="44"/>
      <c r="L135" s="44"/>
      <c r="M135" s="43"/>
      <c r="N135" s="43"/>
      <c r="O135" s="43"/>
      <c r="P135" s="178"/>
      <c r="Q135" s="44"/>
      <c r="R135" s="44"/>
    </row>
    <row r="136" spans="1:18" x14ac:dyDescent="0.25">
      <c r="A136" s="174"/>
      <c r="B136" s="174"/>
      <c r="C136" s="43"/>
      <c r="D136" s="178"/>
      <c r="E136" s="44"/>
      <c r="F136" s="44"/>
      <c r="G136" s="43"/>
      <c r="H136" s="43"/>
      <c r="I136" s="43"/>
      <c r="J136" s="178"/>
      <c r="K136" s="44"/>
      <c r="L136" s="44"/>
      <c r="M136" s="43"/>
      <c r="N136" s="43"/>
      <c r="O136" s="43"/>
      <c r="P136" s="178"/>
      <c r="Q136" s="44"/>
      <c r="R136" s="44"/>
    </row>
    <row r="137" spans="1:18" x14ac:dyDescent="0.25">
      <c r="A137" s="174"/>
      <c r="B137" s="174"/>
      <c r="C137" s="43"/>
      <c r="D137" s="178"/>
      <c r="E137" s="44"/>
      <c r="F137" s="44"/>
      <c r="G137" s="43"/>
      <c r="H137" s="43"/>
      <c r="I137" s="43"/>
      <c r="J137" s="178"/>
      <c r="K137" s="44"/>
      <c r="L137" s="44"/>
      <c r="M137" s="43"/>
      <c r="N137" s="43"/>
      <c r="O137" s="43"/>
      <c r="P137" s="178"/>
      <c r="Q137" s="44"/>
      <c r="R137" s="44"/>
    </row>
    <row r="138" spans="1:18" x14ac:dyDescent="0.25">
      <c r="A138" s="174"/>
      <c r="B138" s="174"/>
      <c r="C138" s="43"/>
      <c r="D138" s="178"/>
      <c r="E138" s="44"/>
      <c r="F138" s="44"/>
      <c r="G138" s="43"/>
      <c r="H138" s="43"/>
      <c r="I138" s="43"/>
      <c r="J138" s="178"/>
      <c r="K138" s="44"/>
      <c r="L138" s="44"/>
      <c r="M138" s="43"/>
      <c r="N138" s="43"/>
      <c r="O138" s="43"/>
      <c r="P138" s="178"/>
      <c r="Q138" s="44"/>
      <c r="R138" s="44"/>
    </row>
    <row r="139" spans="1:18" x14ac:dyDescent="0.25">
      <c r="A139" s="174"/>
      <c r="B139" s="174"/>
      <c r="C139" s="43"/>
      <c r="D139" s="178"/>
      <c r="E139" s="44"/>
      <c r="F139" s="44"/>
      <c r="G139" s="43"/>
      <c r="H139" s="43"/>
      <c r="I139" s="43"/>
      <c r="J139" s="178"/>
      <c r="K139" s="44"/>
      <c r="L139" s="44"/>
      <c r="M139" s="43"/>
      <c r="N139" s="43"/>
      <c r="O139" s="43"/>
      <c r="P139" s="178"/>
      <c r="Q139" s="44"/>
      <c r="R139" s="44"/>
    </row>
    <row r="140" spans="1:18" x14ac:dyDescent="0.25">
      <c r="A140" s="174"/>
      <c r="B140" s="174"/>
      <c r="C140" s="43"/>
      <c r="D140" s="178"/>
      <c r="E140" s="44"/>
      <c r="F140" s="44"/>
      <c r="G140" s="43"/>
      <c r="H140" s="43"/>
      <c r="I140" s="43"/>
      <c r="J140" s="178"/>
      <c r="K140" s="44"/>
      <c r="L140" s="44"/>
      <c r="M140" s="43"/>
      <c r="N140" s="43"/>
      <c r="O140" s="43"/>
      <c r="P140" s="178"/>
      <c r="Q140" s="44"/>
      <c r="R140" s="44"/>
    </row>
    <row r="141" spans="1:18" x14ac:dyDescent="0.25">
      <c r="A141" s="174"/>
      <c r="B141" s="174"/>
      <c r="C141" s="43"/>
      <c r="D141" s="178"/>
      <c r="E141" s="44"/>
      <c r="F141" s="44"/>
      <c r="G141" s="43"/>
      <c r="H141" s="43"/>
      <c r="I141" s="43"/>
      <c r="J141" s="178"/>
      <c r="K141" s="44"/>
      <c r="L141" s="44"/>
      <c r="M141" s="43"/>
      <c r="N141" s="43"/>
      <c r="O141" s="43"/>
      <c r="P141" s="178"/>
      <c r="Q141" s="44"/>
      <c r="R141" s="44"/>
    </row>
    <row r="142" spans="1:18" x14ac:dyDescent="0.25">
      <c r="A142" s="174"/>
      <c r="B142" s="174"/>
      <c r="C142" s="43"/>
      <c r="D142" s="178"/>
      <c r="E142" s="44"/>
      <c r="F142" s="44"/>
      <c r="G142" s="43"/>
      <c r="H142" s="43"/>
      <c r="I142" s="43"/>
      <c r="J142" s="178"/>
      <c r="K142" s="44"/>
      <c r="L142" s="44"/>
      <c r="M142" s="43"/>
      <c r="N142" s="43"/>
      <c r="O142" s="43"/>
      <c r="P142" s="178"/>
      <c r="Q142" s="44"/>
      <c r="R142" s="44"/>
    </row>
    <row r="143" spans="1:18" x14ac:dyDescent="0.25">
      <c r="A143" s="176"/>
    </row>
    <row r="145" spans="1:22" ht="18.75" x14ac:dyDescent="0.3">
      <c r="A145" s="116" t="s">
        <v>255</v>
      </c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</row>
    <row r="146" spans="1:22" ht="15" customHeight="1" x14ac:dyDescent="0.3">
      <c r="A146" s="179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</row>
    <row r="147" spans="1:22" ht="15" customHeight="1" x14ac:dyDescent="0.25">
      <c r="A147" s="150" t="s">
        <v>423</v>
      </c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38" t="s">
        <v>421</v>
      </c>
      <c r="N147" s="139"/>
      <c r="O147" s="139"/>
      <c r="P147" s="139"/>
      <c r="Q147" s="139"/>
      <c r="R147" s="139"/>
    </row>
    <row r="148" spans="1:22" ht="15" customHeight="1" x14ac:dyDescent="0.25">
      <c r="A148" s="141" t="s">
        <v>307</v>
      </c>
      <c r="B148" s="119" t="s">
        <v>318</v>
      </c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622"/>
      <c r="N148" s="554"/>
      <c r="O148" s="554"/>
      <c r="P148" s="554"/>
      <c r="Q148" s="554"/>
      <c r="R148" s="555"/>
    </row>
    <row r="149" spans="1:22" ht="15" customHeight="1" x14ac:dyDescent="0.25">
      <c r="A149" s="577" t="s">
        <v>560</v>
      </c>
      <c r="B149" s="711" t="s">
        <v>561</v>
      </c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659"/>
      <c r="N149" s="642"/>
      <c r="O149" s="642"/>
      <c r="P149" s="642"/>
      <c r="Q149" s="642"/>
      <c r="R149" s="643"/>
    </row>
    <row r="150" spans="1:22" ht="15" customHeight="1" x14ac:dyDescent="0.25">
      <c r="A150" s="164" t="s">
        <v>308</v>
      </c>
      <c r="B150" s="269" t="s">
        <v>540</v>
      </c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556"/>
      <c r="N150" s="557"/>
      <c r="O150" s="557"/>
      <c r="P150" s="557"/>
      <c r="Q150" s="640"/>
      <c r="R150" s="558"/>
    </row>
    <row r="151" spans="1:22" ht="15" customHeight="1" x14ac:dyDescent="0.25">
      <c r="A151" s="159" t="s">
        <v>76</v>
      </c>
      <c r="B151" s="145" t="s">
        <v>718</v>
      </c>
      <c r="C151" s="168"/>
      <c r="D151" s="120"/>
      <c r="E151" s="120"/>
      <c r="F151" s="120"/>
      <c r="G151" s="120"/>
      <c r="H151" s="120"/>
      <c r="I151" s="120"/>
      <c r="J151" s="120"/>
      <c r="K151" s="120"/>
      <c r="L151" s="120"/>
      <c r="M151" s="556"/>
      <c r="N151" s="557"/>
      <c r="O151" s="557"/>
      <c r="P151" s="557"/>
      <c r="Q151" s="640"/>
      <c r="R151" s="558"/>
    </row>
    <row r="152" spans="1:22" ht="15" customHeight="1" x14ac:dyDescent="0.25">
      <c r="A152" s="159"/>
      <c r="B152" s="145" t="s">
        <v>422</v>
      </c>
      <c r="C152" s="168"/>
      <c r="D152" s="120"/>
      <c r="E152" s="120"/>
      <c r="F152" s="120"/>
      <c r="G152" s="120"/>
      <c r="H152" s="120"/>
      <c r="I152" s="120"/>
      <c r="J152" s="120"/>
      <c r="K152" s="120"/>
      <c r="L152" s="120"/>
      <c r="M152" s="556"/>
      <c r="N152" s="557"/>
      <c r="O152" s="557"/>
      <c r="P152" s="557"/>
      <c r="Q152" s="557"/>
      <c r="R152" s="558"/>
    </row>
    <row r="153" spans="1:22" ht="15" customHeight="1" x14ac:dyDescent="0.25">
      <c r="A153" s="160" t="s">
        <v>100</v>
      </c>
      <c r="B153" s="688" t="s">
        <v>643</v>
      </c>
      <c r="C153" s="688"/>
      <c r="D153" s="626"/>
      <c r="E153" s="626"/>
      <c r="F153" s="626"/>
      <c r="G153" s="122"/>
      <c r="H153" s="122"/>
      <c r="I153" s="122"/>
      <c r="J153" s="122"/>
      <c r="K153" s="122"/>
      <c r="L153" s="122"/>
      <c r="M153" s="550"/>
      <c r="N153" s="551"/>
      <c r="O153" s="551"/>
      <c r="P153" s="551"/>
      <c r="Q153" s="551"/>
      <c r="R153" s="552"/>
    </row>
    <row r="154" spans="1:22" ht="15" customHeight="1" x14ac:dyDescent="0.25">
      <c r="A154" s="145"/>
      <c r="B154" s="168"/>
      <c r="C154" s="168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</row>
    <row r="155" spans="1:22" x14ac:dyDescent="0.25">
      <c r="A155" s="150" t="s">
        <v>424</v>
      </c>
      <c r="B155" s="151"/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</row>
    <row r="157" spans="1:22" x14ac:dyDescent="0.25">
      <c r="A157" s="1" t="s">
        <v>171</v>
      </c>
      <c r="B157" s="559" t="s">
        <v>312</v>
      </c>
      <c r="C157" s="119"/>
      <c r="D157" s="201"/>
      <c r="F157" s="43"/>
    </row>
    <row r="158" spans="1:22" x14ac:dyDescent="0.25">
      <c r="A158" s="2">
        <v>28</v>
      </c>
      <c r="B158" s="560" t="s">
        <v>531</v>
      </c>
      <c r="C158" s="122"/>
      <c r="D158" s="202"/>
      <c r="F158" s="43"/>
    </row>
    <row r="159" spans="1:22" x14ac:dyDescent="0.25">
      <c r="A159" s="154" t="s">
        <v>5</v>
      </c>
      <c r="B159" s="154" t="s">
        <v>108</v>
      </c>
      <c r="C159" s="779" t="s">
        <v>0</v>
      </c>
      <c r="D159" s="780"/>
      <c r="F159" s="165"/>
      <c r="G159" s="582"/>
      <c r="J159" s="581"/>
      <c r="T159" s="145"/>
      <c r="U159" s="145"/>
      <c r="V159" s="145"/>
    </row>
    <row r="160" spans="1:22" x14ac:dyDescent="0.25">
      <c r="A160" s="154"/>
      <c r="B160" s="154" t="s">
        <v>109</v>
      </c>
      <c r="C160" s="781" t="s">
        <v>133</v>
      </c>
      <c r="D160" s="782"/>
      <c r="F160" s="165"/>
      <c r="T160" s="290"/>
      <c r="U160" s="145"/>
      <c r="V160" s="145"/>
    </row>
    <row r="161" spans="1:23" x14ac:dyDescent="0.25">
      <c r="A161" s="156"/>
      <c r="B161" s="156" t="s">
        <v>545</v>
      </c>
      <c r="C161" s="783"/>
      <c r="D161" s="784"/>
      <c r="F161" s="165"/>
      <c r="T161" s="145"/>
      <c r="U161" s="145"/>
      <c r="V161" s="145"/>
    </row>
    <row r="162" spans="1:23" x14ac:dyDescent="0.25">
      <c r="A162" s="18">
        <v>1</v>
      </c>
      <c r="B162" s="3">
        <v>1.7589999999999999</v>
      </c>
      <c r="C162" s="785" t="str">
        <f>IF(B162="","",(IF(B162&gt;2,"Ikke OK","OK")))</f>
        <v>OK</v>
      </c>
      <c r="D162" s="786"/>
      <c r="F162" s="76"/>
    </row>
    <row r="163" spans="1:23" x14ac:dyDescent="0.25">
      <c r="A163" s="113">
        <v>2</v>
      </c>
      <c r="B163" s="5">
        <v>1.7529999999999999</v>
      </c>
      <c r="C163" s="787" t="str">
        <f t="shared" ref="C163:C165" si="7">IF(B163="","",(IF(B163&gt;2,"Ikke OK","OK")))</f>
        <v>OK</v>
      </c>
      <c r="D163" s="788"/>
      <c r="F163" s="43"/>
    </row>
    <row r="164" spans="1:23" x14ac:dyDescent="0.25">
      <c r="A164" s="121">
        <v>3</v>
      </c>
      <c r="B164" s="7">
        <v>1.762</v>
      </c>
      <c r="C164" s="789" t="str">
        <f t="shared" si="7"/>
        <v>OK</v>
      </c>
      <c r="D164" s="790"/>
      <c r="F164" s="43"/>
    </row>
    <row r="165" spans="1:23" x14ac:dyDescent="0.25">
      <c r="A165" s="193" t="s">
        <v>546</v>
      </c>
      <c r="B165" s="193">
        <f>AVERAGE(B162:B164)</f>
        <v>1.7579999999999998</v>
      </c>
      <c r="C165" s="791" t="str">
        <f t="shared" si="7"/>
        <v>OK</v>
      </c>
      <c r="D165" s="792"/>
    </row>
    <row r="168" spans="1:23" ht="18.75" x14ac:dyDescent="0.3">
      <c r="A168" s="116" t="s">
        <v>353</v>
      </c>
      <c r="B168" s="137"/>
      <c r="C168" s="137"/>
      <c r="D168" s="137"/>
      <c r="E168" s="137"/>
      <c r="F168" s="137"/>
      <c r="G168" s="137"/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</row>
    <row r="170" spans="1:23" x14ac:dyDescent="0.25">
      <c r="A170" s="150" t="s">
        <v>425</v>
      </c>
      <c r="B170" s="151"/>
      <c r="C170" s="151"/>
      <c r="D170" s="151"/>
      <c r="E170" s="151"/>
      <c r="F170" s="151"/>
      <c r="G170" s="151"/>
      <c r="H170" s="151"/>
      <c r="I170" s="151"/>
      <c r="J170" s="151"/>
      <c r="K170" s="151"/>
      <c r="L170" s="151"/>
      <c r="M170" s="138" t="s">
        <v>421</v>
      </c>
      <c r="N170" s="139"/>
      <c r="O170" s="139"/>
      <c r="P170" s="139"/>
      <c r="Q170" s="139"/>
      <c r="R170" s="139"/>
    </row>
    <row r="171" spans="1:23" x14ac:dyDescent="0.25">
      <c r="A171" s="141" t="s">
        <v>307</v>
      </c>
      <c r="B171" s="119" t="s">
        <v>134</v>
      </c>
      <c r="C171" s="119"/>
      <c r="D171" s="119"/>
      <c r="E171" s="119"/>
      <c r="F171" s="119"/>
      <c r="G171" s="119"/>
      <c r="H171" s="119"/>
      <c r="I171" s="119"/>
      <c r="J171" s="119"/>
      <c r="K171" s="119"/>
      <c r="L171" s="143"/>
      <c r="M171" s="553"/>
      <c r="N171" s="554"/>
      <c r="O171" s="554"/>
      <c r="P171" s="554"/>
      <c r="Q171" s="554"/>
      <c r="R171" s="555"/>
      <c r="T171" s="126"/>
      <c r="U171" s="126"/>
      <c r="V171" s="126"/>
      <c r="W171" s="126"/>
    </row>
    <row r="172" spans="1:23" x14ac:dyDescent="0.25">
      <c r="A172" s="577" t="s">
        <v>560</v>
      </c>
      <c r="B172" s="711" t="s">
        <v>131</v>
      </c>
      <c r="C172" s="120"/>
      <c r="D172" s="120"/>
      <c r="E172" s="120"/>
      <c r="F172" s="120"/>
      <c r="G172" s="120"/>
      <c r="H172" s="120"/>
      <c r="I172" s="120"/>
      <c r="J172" s="120"/>
      <c r="K172" s="120"/>
      <c r="L172" s="146"/>
      <c r="M172" s="641"/>
      <c r="N172" s="642"/>
      <c r="O172" s="642"/>
      <c r="P172" s="642"/>
      <c r="Q172" s="642"/>
      <c r="R172" s="643"/>
      <c r="T172" s="126"/>
      <c r="U172" s="126"/>
      <c r="V172" s="126"/>
      <c r="W172" s="126"/>
    </row>
    <row r="173" spans="1:23" x14ac:dyDescent="0.25">
      <c r="A173" s="734" t="s">
        <v>76</v>
      </c>
      <c r="B173" s="105" t="s">
        <v>594</v>
      </c>
      <c r="C173" s="114"/>
      <c r="D173" s="114"/>
      <c r="E173" s="114"/>
      <c r="F173" s="114"/>
      <c r="G173" s="120"/>
      <c r="H173" s="120"/>
      <c r="I173" s="120"/>
      <c r="J173" s="120"/>
      <c r="K173" s="120"/>
      <c r="L173" s="146"/>
      <c r="M173" s="556"/>
      <c r="N173" s="557"/>
      <c r="O173" s="557"/>
      <c r="P173" s="557"/>
      <c r="Q173" s="557"/>
      <c r="R173" s="558"/>
      <c r="T173" s="598"/>
      <c r="U173" s="126"/>
      <c r="V173" s="126"/>
      <c r="W173" s="126"/>
    </row>
    <row r="174" spans="1:23" x14ac:dyDescent="0.25">
      <c r="A174" s="734"/>
      <c r="B174" s="114" t="s">
        <v>592</v>
      </c>
      <c r="C174" s="114"/>
      <c r="D174" s="114"/>
      <c r="E174" s="114"/>
      <c r="F174" s="114"/>
      <c r="G174" s="120"/>
      <c r="H174" s="120"/>
      <c r="I174" s="120"/>
      <c r="J174" s="120"/>
      <c r="K174" s="120"/>
      <c r="L174" s="146"/>
      <c r="M174" s="652"/>
      <c r="N174" s="653"/>
      <c r="O174" s="653"/>
      <c r="P174" s="653"/>
      <c r="Q174" s="653"/>
      <c r="R174" s="654"/>
      <c r="T174" s="598"/>
      <c r="U174" s="126"/>
      <c r="V174" s="126"/>
      <c r="W174" s="126"/>
    </row>
    <row r="175" spans="1:23" x14ac:dyDescent="0.25">
      <c r="A175" s="734"/>
      <c r="B175" s="114" t="s">
        <v>593</v>
      </c>
      <c r="C175" s="114"/>
      <c r="D175" s="114"/>
      <c r="E175" s="114"/>
      <c r="F175" s="114"/>
      <c r="G175" s="120"/>
      <c r="H175" s="120"/>
      <c r="I175" s="120"/>
      <c r="J175" s="120"/>
      <c r="K175" s="120"/>
      <c r="L175" s="146"/>
      <c r="M175" s="652"/>
      <c r="N175" s="653"/>
      <c r="O175" s="653"/>
      <c r="P175" s="653"/>
      <c r="Q175" s="653"/>
      <c r="R175" s="654"/>
      <c r="T175" s="598"/>
      <c r="U175" s="126"/>
      <c r="V175" s="126"/>
      <c r="W175" s="126"/>
    </row>
    <row r="176" spans="1:23" x14ac:dyDescent="0.25">
      <c r="A176" s="734"/>
      <c r="B176" s="158" t="s">
        <v>715</v>
      </c>
      <c r="C176" s="287"/>
      <c r="D176" s="287"/>
      <c r="E176" s="287"/>
      <c r="F176" s="287"/>
      <c r="G176" s="287"/>
      <c r="H176" s="287"/>
      <c r="I176" s="287"/>
      <c r="J176" s="287"/>
      <c r="K176" s="120"/>
      <c r="L176" s="146"/>
      <c r="M176" s="740"/>
      <c r="N176" s="741"/>
      <c r="O176" s="741"/>
      <c r="P176" s="741"/>
      <c r="Q176" s="741"/>
      <c r="R176" s="742"/>
      <c r="T176" s="598"/>
      <c r="U176" s="126"/>
      <c r="V176" s="126"/>
      <c r="W176" s="126"/>
    </row>
    <row r="177" spans="1:23" x14ac:dyDescent="0.25">
      <c r="A177" s="160" t="s">
        <v>100</v>
      </c>
      <c r="B177" s="122" t="s">
        <v>595</v>
      </c>
      <c r="C177" s="122"/>
      <c r="D177" s="122"/>
      <c r="E177" s="122"/>
      <c r="F177" s="122"/>
      <c r="G177" s="122"/>
      <c r="H177" s="122"/>
      <c r="I177" s="122"/>
      <c r="J177" s="122"/>
      <c r="K177" s="122"/>
      <c r="L177" s="148"/>
      <c r="M177" s="574"/>
      <c r="N177" s="543"/>
      <c r="O177" s="543"/>
      <c r="P177" s="543"/>
      <c r="Q177" s="543"/>
      <c r="R177" s="575"/>
      <c r="T177" s="126"/>
      <c r="U177" s="126"/>
      <c r="V177" s="126"/>
      <c r="W177" s="126"/>
    </row>
    <row r="178" spans="1:23" x14ac:dyDescent="0.25">
      <c r="A178" s="145"/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</row>
    <row r="179" spans="1:23" x14ac:dyDescent="0.25">
      <c r="A179" s="150" t="s">
        <v>430</v>
      </c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</row>
    <row r="180" spans="1:23" x14ac:dyDescent="0.25">
      <c r="T180" s="145"/>
      <c r="U180" s="145"/>
      <c r="V180" s="145"/>
    </row>
    <row r="181" spans="1:23" x14ac:dyDescent="0.25">
      <c r="A181" s="182"/>
      <c r="B181" s="143"/>
      <c r="C181" s="644" t="s">
        <v>547</v>
      </c>
      <c r="D181" s="645"/>
      <c r="E181" s="646"/>
      <c r="F181" s="644" t="s">
        <v>549</v>
      </c>
      <c r="G181" s="645"/>
      <c r="H181" s="646"/>
      <c r="I181" s="776" t="s">
        <v>557</v>
      </c>
      <c r="J181" s="777"/>
      <c r="K181" s="778"/>
      <c r="T181" s="145"/>
      <c r="U181" s="145"/>
      <c r="V181" s="145"/>
    </row>
    <row r="182" spans="1:23" x14ac:dyDescent="0.25">
      <c r="A182" s="164"/>
      <c r="B182" s="146"/>
      <c r="C182" s="164" t="s">
        <v>550</v>
      </c>
      <c r="D182" s="120"/>
      <c r="E182" s="146"/>
      <c r="F182" s="164" t="s">
        <v>552</v>
      </c>
      <c r="G182" s="120"/>
      <c r="H182" s="146"/>
      <c r="I182" s="164"/>
      <c r="J182" s="120"/>
      <c r="K182" s="146"/>
      <c r="T182" s="145"/>
      <c r="U182" s="145"/>
      <c r="V182" s="145"/>
    </row>
    <row r="183" spans="1:23" x14ac:dyDescent="0.25">
      <c r="A183" s="164"/>
      <c r="B183" s="146"/>
      <c r="C183" s="164" t="s">
        <v>551</v>
      </c>
      <c r="D183" s="120"/>
      <c r="E183" s="146"/>
      <c r="F183" s="164" t="s">
        <v>553</v>
      </c>
      <c r="G183" s="120"/>
      <c r="H183" s="146"/>
      <c r="I183" s="164"/>
      <c r="J183" s="120"/>
      <c r="K183" s="146"/>
      <c r="T183" s="581"/>
      <c r="U183" s="145"/>
      <c r="V183" s="145"/>
    </row>
    <row r="184" spans="1:23" x14ac:dyDescent="0.25">
      <c r="A184" s="164"/>
      <c r="B184" s="146"/>
      <c r="C184" s="164" t="s">
        <v>548</v>
      </c>
      <c r="D184" s="120"/>
      <c r="E184" s="146"/>
      <c r="F184" s="164" t="s">
        <v>716</v>
      </c>
      <c r="G184" s="120"/>
      <c r="H184" s="146"/>
      <c r="I184" s="164"/>
      <c r="J184" s="120"/>
      <c r="K184" s="146"/>
      <c r="T184" s="145"/>
      <c r="U184" s="145"/>
      <c r="V184" s="145"/>
    </row>
    <row r="185" spans="1:23" x14ac:dyDescent="0.25">
      <c r="A185" s="183"/>
      <c r="B185" s="148"/>
      <c r="C185" s="183"/>
      <c r="D185" s="122"/>
      <c r="E185" s="148"/>
      <c r="F185" s="743" t="s">
        <v>717</v>
      </c>
      <c r="G185" s="122"/>
      <c r="H185" s="148"/>
      <c r="I185" s="183"/>
      <c r="J185" s="122"/>
      <c r="K185" s="148"/>
      <c r="T185" s="145"/>
      <c r="U185" s="145"/>
      <c r="V185" s="145"/>
    </row>
    <row r="186" spans="1:23" x14ac:dyDescent="0.25">
      <c r="A186" s="182" t="s">
        <v>309</v>
      </c>
      <c r="B186" s="119"/>
      <c r="C186" s="345" t="str">
        <f>IF(A106="","",A106)</f>
        <v>W-Rh</v>
      </c>
      <c r="D186" s="345" t="str">
        <f>IF(G106="","",G106)</f>
        <v>Mo-Mo</v>
      </c>
      <c r="E186" s="345" t="str">
        <f>IF(M106="","",M106)</f>
        <v>W-Ag</v>
      </c>
      <c r="F186" s="1" t="s">
        <v>171</v>
      </c>
      <c r="G186" s="1" t="s">
        <v>172</v>
      </c>
      <c r="H186" s="1" t="s">
        <v>175</v>
      </c>
      <c r="I186" s="25" t="str">
        <f>IF(AND(C186="",F186=""),"",IF(C186="",F186,C186))</f>
        <v>W-Rh</v>
      </c>
      <c r="J186" s="25" t="str">
        <f t="shared" ref="J186:K186" si="8">IF(AND(D186="",G186=""),"",IF(D186="",G186,D186))</f>
        <v>Mo-Mo</v>
      </c>
      <c r="K186" s="25" t="str">
        <f t="shared" si="8"/>
        <v>W-Ag</v>
      </c>
      <c r="T186" s="190"/>
      <c r="U186" s="43"/>
      <c r="V186" s="43"/>
    </row>
    <row r="187" spans="1:23" x14ac:dyDescent="0.25">
      <c r="A187" s="183"/>
      <c r="B187" s="122"/>
      <c r="C187" s="27"/>
      <c r="D187" s="27"/>
      <c r="E187" s="160"/>
      <c r="F187" s="27"/>
      <c r="G187" s="27"/>
      <c r="H187" s="160"/>
      <c r="I187" s="189" t="s">
        <v>118</v>
      </c>
      <c r="J187" s="189" t="s">
        <v>118</v>
      </c>
      <c r="K187" s="189" t="s">
        <v>118</v>
      </c>
      <c r="T187" s="43"/>
      <c r="U187" s="43"/>
      <c r="V187" s="43"/>
    </row>
    <row r="188" spans="1:23" x14ac:dyDescent="0.25">
      <c r="A188" s="152" t="s">
        <v>5</v>
      </c>
      <c r="B188" s="538" t="s">
        <v>348</v>
      </c>
      <c r="C188" s="153" t="s">
        <v>11</v>
      </c>
      <c r="D188" s="153" t="s">
        <v>11</v>
      </c>
      <c r="E188" s="184" t="s">
        <v>11</v>
      </c>
      <c r="F188" s="153" t="s">
        <v>11</v>
      </c>
      <c r="G188" s="153" t="s">
        <v>11</v>
      </c>
      <c r="H188" s="184" t="s">
        <v>11</v>
      </c>
      <c r="I188" s="152" t="s">
        <v>330</v>
      </c>
      <c r="J188" s="152" t="s">
        <v>330</v>
      </c>
      <c r="K188" s="152" t="s">
        <v>330</v>
      </c>
      <c r="T188" s="43"/>
      <c r="U188" s="43"/>
      <c r="V188" s="43"/>
    </row>
    <row r="189" spans="1:23" x14ac:dyDescent="0.25">
      <c r="A189" s="154"/>
      <c r="B189" s="154"/>
      <c r="C189" s="155" t="s">
        <v>13</v>
      </c>
      <c r="D189" s="155" t="s">
        <v>13</v>
      </c>
      <c r="E189" s="185" t="s">
        <v>13</v>
      </c>
      <c r="F189" s="155" t="s">
        <v>13</v>
      </c>
      <c r="G189" s="155" t="s">
        <v>13</v>
      </c>
      <c r="H189" s="185" t="s">
        <v>13</v>
      </c>
      <c r="I189" s="154" t="s">
        <v>117</v>
      </c>
      <c r="J189" s="154" t="s">
        <v>117</v>
      </c>
      <c r="K189" s="154" t="s">
        <v>117</v>
      </c>
      <c r="T189" s="43"/>
      <c r="U189" s="43"/>
      <c r="V189" s="43"/>
    </row>
    <row r="190" spans="1:23" x14ac:dyDescent="0.25">
      <c r="A190" s="156"/>
      <c r="B190" s="156" t="s">
        <v>344</v>
      </c>
      <c r="C190" s="156" t="s">
        <v>322</v>
      </c>
      <c r="D190" s="156" t="s">
        <v>322</v>
      </c>
      <c r="E190" s="156" t="s">
        <v>322</v>
      </c>
      <c r="F190" s="156" t="s">
        <v>322</v>
      </c>
      <c r="G190" s="156" t="s">
        <v>322</v>
      </c>
      <c r="H190" s="156" t="s">
        <v>322</v>
      </c>
      <c r="I190" s="156" t="s">
        <v>322</v>
      </c>
      <c r="J190" s="156" t="s">
        <v>322</v>
      </c>
      <c r="K190" s="156" t="s">
        <v>322</v>
      </c>
      <c r="T190" s="43"/>
      <c r="U190" s="43"/>
      <c r="V190" s="43"/>
    </row>
    <row r="191" spans="1:23" x14ac:dyDescent="0.25">
      <c r="A191" s="18">
        <v>1</v>
      </c>
      <c r="B191" s="18">
        <v>24</v>
      </c>
      <c r="C191" s="83" t="str">
        <f t="shared" ref="C191:C202" si="9">IF(F112="","",F112)</f>
        <v/>
      </c>
      <c r="D191" s="83" t="str">
        <f t="shared" ref="D191:D202" si="10">IF(L112="","",L112)</f>
        <v/>
      </c>
      <c r="E191" s="83" t="str">
        <f t="shared" ref="E191:E202" si="11">IF(R112="","",R112)</f>
        <v/>
      </c>
      <c r="F191" s="517">
        <v>0.35</v>
      </c>
      <c r="G191" s="517">
        <v>0.35</v>
      </c>
      <c r="H191" s="517">
        <v>0.35</v>
      </c>
      <c r="I191" s="452" t="str">
        <f>IF(I$186="","",INDEX(Data!$N$123:$S$134,VLOOKUP('2. Røntgenrør m.m.'!$B191,Data!$L$123:$M$134,2,FALSE),HLOOKUP('2. Røntgenrør m.m.'!I$186,Data!$N$121:$S$122,2,FALSE)))</f>
        <v xml:space="preserve"> 0,27 - 0,54</v>
      </c>
      <c r="J191" s="452" t="str">
        <f>IF(J$186="","",INDEX(Data!$N$123:$S$134,VLOOKUP('2. Røntgenrør m.m.'!$B191,Data!$L$123:$M$134,2,FALSE),HLOOKUP('2. Røntgenrør m.m.'!J$186,Data!$N$121:$S$122,2,FALSE)))</f>
        <v xml:space="preserve"> 0,27 - 0,36</v>
      </c>
      <c r="K191" s="452" t="str">
        <f>IF(K$186="","",INDEX(Data!$N$123:$S$134,VLOOKUP('2. Røntgenrør m.m.'!$B191,Data!$L$123:$M$134,2,FALSE),HLOOKUP('2. Røntgenrør m.m.'!K$186,Data!$N$121:$S$122,2,FALSE)))</f>
        <v xml:space="preserve"> 0,27 - 0,56</v>
      </c>
      <c r="T191" s="443"/>
      <c r="U191" s="443"/>
      <c r="V191" s="443"/>
    </row>
    <row r="192" spans="1:23" x14ac:dyDescent="0.25">
      <c r="A192" s="113">
        <v>2</v>
      </c>
      <c r="B192" s="113">
        <v>25</v>
      </c>
      <c r="C192" s="84" t="str">
        <f t="shared" si="9"/>
        <v/>
      </c>
      <c r="D192" s="84" t="str">
        <f t="shared" si="10"/>
        <v/>
      </c>
      <c r="E192" s="84" t="str">
        <f t="shared" si="11"/>
        <v/>
      </c>
      <c r="F192" s="518">
        <v>0.36</v>
      </c>
      <c r="G192" s="518">
        <v>0.36</v>
      </c>
      <c r="H192" s="518">
        <v>0.36</v>
      </c>
      <c r="I192" s="453" t="str">
        <f>IF(I$186="","",INDEX(Data!$N$123:$S$134,VLOOKUP('2. Røntgenrør m.m.'!$B192,Data!$L$123:$M$134,2,FALSE),HLOOKUP('2. Røntgenrør m.m.'!I$186,Data!$N$121:$S$122,2,FALSE)))</f>
        <v xml:space="preserve"> 0,28 - 0,55</v>
      </c>
      <c r="J192" s="453" t="str">
        <f>IF(J$186="","",INDEX(Data!$N$123:$S$134,VLOOKUP('2. Røntgenrør m.m.'!$B192,Data!$L$123:$M$134,2,FALSE),HLOOKUP('2. Røntgenrør m.m.'!J$186,Data!$N$121:$S$122,2,FALSE)))</f>
        <v xml:space="preserve"> 0,28 - 0,37</v>
      </c>
      <c r="K192" s="453" t="str">
        <f>IF(K$186="","",INDEX(Data!$N$123:$S$134,VLOOKUP('2. Røntgenrør m.m.'!$B192,Data!$L$123:$M$134,2,FALSE),HLOOKUP('2. Røntgenrør m.m.'!K$186,Data!$N$121:$S$122,2,FALSE)))</f>
        <v xml:space="preserve"> 0,28 - 0,57</v>
      </c>
      <c r="T192" s="443"/>
      <c r="U192" s="443"/>
      <c r="V192" s="443"/>
    </row>
    <row r="193" spans="1:22" x14ac:dyDescent="0.25">
      <c r="A193" s="113">
        <v>3</v>
      </c>
      <c r="B193" s="113">
        <v>26</v>
      </c>
      <c r="C193" s="84">
        <f t="shared" si="9"/>
        <v>0.54100000000000004</v>
      </c>
      <c r="D193" s="84" t="str">
        <f t="shared" si="10"/>
        <v/>
      </c>
      <c r="E193" s="84" t="str">
        <f t="shared" si="11"/>
        <v/>
      </c>
      <c r="F193" s="518">
        <v>0.37</v>
      </c>
      <c r="G193" s="518">
        <v>0.37</v>
      </c>
      <c r="H193" s="518">
        <v>0.37</v>
      </c>
      <c r="I193" s="453" t="str">
        <f>IF(I$186="","",INDEX(Data!$N$123:$S$134,VLOOKUP('2. Røntgenrør m.m.'!$B193,Data!$L$123:$M$134,2,FALSE),HLOOKUP('2. Røntgenrør m.m.'!I$186,Data!$N$121:$S$122,2,FALSE)))</f>
        <v xml:space="preserve"> 0,29 - 0,56</v>
      </c>
      <c r="J193" s="453" t="str">
        <f>IF(J$186="","",INDEX(Data!$N$123:$S$134,VLOOKUP('2. Røntgenrør m.m.'!$B193,Data!$L$123:$M$134,2,FALSE),HLOOKUP('2. Røntgenrør m.m.'!J$186,Data!$N$121:$S$122,2,FALSE)))</f>
        <v xml:space="preserve"> 0,29 - 0,38</v>
      </c>
      <c r="K193" s="453" t="str">
        <f>IF(K$186="","",INDEX(Data!$N$123:$S$134,VLOOKUP('2. Røntgenrør m.m.'!$B193,Data!$L$123:$M$134,2,FALSE),HLOOKUP('2. Røntgenrør m.m.'!K$186,Data!$N$121:$S$122,2,FALSE)))</f>
        <v xml:space="preserve"> 0,29 - 0,58</v>
      </c>
      <c r="T193" s="443"/>
      <c r="U193" s="443"/>
      <c r="V193" s="443"/>
    </row>
    <row r="194" spans="1:22" x14ac:dyDescent="0.25">
      <c r="A194" s="113">
        <v>4</v>
      </c>
      <c r="B194" s="113">
        <v>27</v>
      </c>
      <c r="C194" s="84">
        <f t="shared" si="9"/>
        <v>0.55200000000000005</v>
      </c>
      <c r="D194" s="84" t="str">
        <f t="shared" si="10"/>
        <v/>
      </c>
      <c r="E194" s="84" t="str">
        <f t="shared" si="11"/>
        <v/>
      </c>
      <c r="F194" s="518">
        <v>0.38</v>
      </c>
      <c r="G194" s="518">
        <v>0.38</v>
      </c>
      <c r="H194" s="518">
        <v>0.38</v>
      </c>
      <c r="I194" s="453" t="str">
        <f>IF(I$186="","",INDEX(Data!$N$123:$S$134,VLOOKUP('2. Røntgenrør m.m.'!$B194,Data!$L$123:$M$134,2,FALSE),HLOOKUP('2. Røntgenrør m.m.'!I$186,Data!$N$121:$S$122,2,FALSE)))</f>
        <v xml:space="preserve"> 0,30 - 0,57</v>
      </c>
      <c r="J194" s="453" t="str">
        <f>IF(J$186="","",INDEX(Data!$N$123:$S$134,VLOOKUP('2. Røntgenrør m.m.'!$B194,Data!$L$123:$M$134,2,FALSE),HLOOKUP('2. Røntgenrør m.m.'!J$186,Data!$N$121:$S$122,2,FALSE)))</f>
        <v xml:space="preserve"> 0,30 - 0,39</v>
      </c>
      <c r="K194" s="453" t="str">
        <f>IF(K$186="","",INDEX(Data!$N$123:$S$134,VLOOKUP('2. Røntgenrør m.m.'!$B194,Data!$L$123:$M$134,2,FALSE),HLOOKUP('2. Røntgenrør m.m.'!K$186,Data!$N$121:$S$122,2,FALSE)))</f>
        <v xml:space="preserve"> 0,30 - 0,59</v>
      </c>
      <c r="T194" s="443"/>
      <c r="U194" s="443"/>
      <c r="V194" s="443"/>
    </row>
    <row r="195" spans="1:22" x14ac:dyDescent="0.25">
      <c r="A195" s="113">
        <v>5</v>
      </c>
      <c r="B195" s="113">
        <v>28</v>
      </c>
      <c r="C195" s="84">
        <f t="shared" si="9"/>
        <v>0.56499999999999995</v>
      </c>
      <c r="D195" s="84" t="str">
        <f t="shared" si="10"/>
        <v/>
      </c>
      <c r="E195" s="84" t="str">
        <f t="shared" si="11"/>
        <v/>
      </c>
      <c r="F195" s="518">
        <v>0.39</v>
      </c>
      <c r="G195" s="518">
        <v>0.39</v>
      </c>
      <c r="H195" s="518">
        <v>0.39</v>
      </c>
      <c r="I195" s="453" t="str">
        <f>IF(I$186="","",INDEX(Data!$N$123:$S$134,VLOOKUP('2. Røntgenrør m.m.'!$B195,Data!$L$123:$M$134,2,FALSE),HLOOKUP('2. Røntgenrør m.m.'!I$186,Data!$N$121:$S$122,2,FALSE)))</f>
        <v xml:space="preserve"> 0,31 - 0,58</v>
      </c>
      <c r="J195" s="453" t="str">
        <f>IF(J$186="","",INDEX(Data!$N$123:$S$134,VLOOKUP('2. Røntgenrør m.m.'!$B195,Data!$L$123:$M$134,2,FALSE),HLOOKUP('2. Røntgenrør m.m.'!J$186,Data!$N$121:$S$122,2,FALSE)))</f>
        <v xml:space="preserve"> 0,31 - 0,40</v>
      </c>
      <c r="K195" s="453" t="str">
        <f>IF(K$186="","",INDEX(Data!$N$123:$S$134,VLOOKUP('2. Røntgenrør m.m.'!$B195,Data!$L$123:$M$134,2,FALSE),HLOOKUP('2. Røntgenrør m.m.'!K$186,Data!$N$121:$S$122,2,FALSE)))</f>
        <v xml:space="preserve"> 0,31 - 0,60</v>
      </c>
      <c r="T195" s="443"/>
      <c r="U195" s="443"/>
      <c r="V195" s="443"/>
    </row>
    <row r="196" spans="1:22" x14ac:dyDescent="0.25">
      <c r="A196" s="113">
        <v>6</v>
      </c>
      <c r="B196" s="113">
        <v>29</v>
      </c>
      <c r="C196" s="84">
        <f t="shared" si="9"/>
        <v>0.57099999999999995</v>
      </c>
      <c r="D196" s="84" t="str">
        <f t="shared" si="10"/>
        <v/>
      </c>
      <c r="E196" s="84" t="str">
        <f t="shared" si="11"/>
        <v/>
      </c>
      <c r="F196" s="518">
        <v>0.4</v>
      </c>
      <c r="G196" s="518">
        <v>0.4</v>
      </c>
      <c r="H196" s="518">
        <v>0.4</v>
      </c>
      <c r="I196" s="453" t="str">
        <f>IF(I$186="","",INDEX(Data!$N$123:$S$134,VLOOKUP('2. Røntgenrør m.m.'!$B196,Data!$L$123:$M$134,2,FALSE),HLOOKUP('2. Røntgenrør m.m.'!I$186,Data!$N$121:$S$122,2,FALSE)))</f>
        <v xml:space="preserve"> 0,32 - 0,59</v>
      </c>
      <c r="J196" s="453" t="str">
        <f>IF(J$186="","",INDEX(Data!$N$123:$S$134,VLOOKUP('2. Røntgenrør m.m.'!$B196,Data!$L$123:$M$134,2,FALSE),HLOOKUP('2. Røntgenrør m.m.'!J$186,Data!$N$121:$S$122,2,FALSE)))</f>
        <v xml:space="preserve"> 0,32 - 0,41</v>
      </c>
      <c r="K196" s="453" t="str">
        <f>IF(K$186="","",INDEX(Data!$N$123:$S$134,VLOOKUP('2. Røntgenrør m.m.'!$B196,Data!$L$123:$M$134,2,FALSE),HLOOKUP('2. Røntgenrør m.m.'!K$186,Data!$N$121:$S$122,2,FALSE)))</f>
        <v xml:space="preserve"> 0,32 - 0,61</v>
      </c>
      <c r="T196" s="443"/>
      <c r="U196" s="443"/>
      <c r="V196" s="443"/>
    </row>
    <row r="197" spans="1:22" x14ac:dyDescent="0.25">
      <c r="A197" s="113">
        <v>7</v>
      </c>
      <c r="B197" s="113">
        <v>30</v>
      </c>
      <c r="C197" s="84">
        <f t="shared" si="9"/>
        <v>0.58099999999999996</v>
      </c>
      <c r="D197" s="84" t="str">
        <f t="shared" si="10"/>
        <v/>
      </c>
      <c r="E197" s="84" t="str">
        <f t="shared" si="11"/>
        <v/>
      </c>
      <c r="F197" s="518">
        <v>0.41</v>
      </c>
      <c r="G197" s="518">
        <v>0.41</v>
      </c>
      <c r="H197" s="518">
        <v>0.41</v>
      </c>
      <c r="I197" s="453" t="str">
        <f>IF(I$186="","",INDEX(Data!$N$123:$S$134,VLOOKUP('2. Røntgenrør m.m.'!$B197,Data!$L$123:$M$134,2,FALSE),HLOOKUP('2. Røntgenrør m.m.'!I$186,Data!$N$121:$S$122,2,FALSE)))</f>
        <v xml:space="preserve"> 0,33 - 0,60</v>
      </c>
      <c r="J197" s="453" t="str">
        <f>IF(J$186="","",INDEX(Data!$N$123:$S$134,VLOOKUP('2. Røntgenrør m.m.'!$B197,Data!$L$123:$M$134,2,FALSE),HLOOKUP('2. Røntgenrør m.m.'!J$186,Data!$N$121:$S$122,2,FALSE)))</f>
        <v xml:space="preserve"> 0,33 - 0,42</v>
      </c>
      <c r="K197" s="453" t="str">
        <f>IF(K$186="","",INDEX(Data!$N$123:$S$134,VLOOKUP('2. Røntgenrør m.m.'!$B197,Data!$L$123:$M$134,2,FALSE),HLOOKUP('2. Røntgenrør m.m.'!K$186,Data!$N$121:$S$122,2,FALSE)))</f>
        <v xml:space="preserve"> 0,33 - 0,62</v>
      </c>
      <c r="T197" s="443"/>
      <c r="U197" s="443"/>
      <c r="V197" s="443"/>
    </row>
    <row r="198" spans="1:22" x14ac:dyDescent="0.25">
      <c r="A198" s="113">
        <v>8</v>
      </c>
      <c r="B198" s="113">
        <v>31</v>
      </c>
      <c r="C198" s="84">
        <f t="shared" si="9"/>
        <v>0.58499999999999996</v>
      </c>
      <c r="D198" s="84" t="str">
        <f t="shared" si="10"/>
        <v/>
      </c>
      <c r="E198" s="84" t="str">
        <f t="shared" si="11"/>
        <v/>
      </c>
      <c r="F198" s="518">
        <v>0.42</v>
      </c>
      <c r="G198" s="518">
        <v>0.42</v>
      </c>
      <c r="H198" s="518">
        <v>0.42</v>
      </c>
      <c r="I198" s="453" t="str">
        <f>IF(I$186="","",INDEX(Data!$N$123:$S$134,VLOOKUP('2. Røntgenrør m.m.'!$B198,Data!$L$123:$M$134,2,FALSE),HLOOKUP('2. Røntgenrør m.m.'!I$186,Data!$N$121:$S$122,2,FALSE)))</f>
        <v xml:space="preserve"> 0,34 - 0,61</v>
      </c>
      <c r="J198" s="453" t="str">
        <f>IF(J$186="","",INDEX(Data!$N$123:$S$134,VLOOKUP('2. Røntgenrør m.m.'!$B198,Data!$L$123:$M$134,2,FALSE),HLOOKUP('2. Røntgenrør m.m.'!J$186,Data!$N$121:$S$122,2,FALSE)))</f>
        <v xml:space="preserve"> 0,34 - 0,43</v>
      </c>
      <c r="K198" s="453" t="str">
        <f>IF(K$186="","",INDEX(Data!$N$123:$S$134,VLOOKUP('2. Røntgenrør m.m.'!$B198,Data!$L$123:$M$134,2,FALSE),HLOOKUP('2. Røntgenrør m.m.'!K$186,Data!$N$121:$S$122,2,FALSE)))</f>
        <v xml:space="preserve"> 0,34 - 0,63</v>
      </c>
      <c r="T198" s="443"/>
      <c r="U198" s="443"/>
      <c r="V198" s="443"/>
    </row>
    <row r="199" spans="1:22" x14ac:dyDescent="0.25">
      <c r="A199" s="113">
        <v>9</v>
      </c>
      <c r="B199" s="113">
        <v>32</v>
      </c>
      <c r="C199" s="84">
        <f t="shared" si="9"/>
        <v>0.59699999999999998</v>
      </c>
      <c r="D199" s="84" t="str">
        <f t="shared" si="10"/>
        <v/>
      </c>
      <c r="E199" s="84" t="str">
        <f t="shared" si="11"/>
        <v/>
      </c>
      <c r="F199" s="518">
        <v>0.43</v>
      </c>
      <c r="G199" s="518">
        <v>0.43</v>
      </c>
      <c r="H199" s="518">
        <v>0.43</v>
      </c>
      <c r="I199" s="453" t="str">
        <f>IF(I$186="","",INDEX(Data!$N$123:$S$134,VLOOKUP('2. Røntgenrør m.m.'!$B199,Data!$L$123:$M$134,2,FALSE),HLOOKUP('2. Røntgenrør m.m.'!I$186,Data!$N$121:$S$122,2,FALSE)))</f>
        <v xml:space="preserve"> 0,35 - 0,62</v>
      </c>
      <c r="J199" s="453" t="str">
        <f>IF(J$186="","",INDEX(Data!$N$123:$S$134,VLOOKUP('2. Røntgenrør m.m.'!$B199,Data!$L$123:$M$134,2,FALSE),HLOOKUP('2. Røntgenrør m.m.'!J$186,Data!$N$121:$S$122,2,FALSE)))</f>
        <v xml:space="preserve"> 0,35 - 0,44</v>
      </c>
      <c r="K199" s="453" t="str">
        <f>IF(K$186="","",INDEX(Data!$N$123:$S$134,VLOOKUP('2. Røntgenrør m.m.'!$B199,Data!$L$123:$M$134,2,FALSE),HLOOKUP('2. Røntgenrør m.m.'!K$186,Data!$N$121:$S$122,2,FALSE)))</f>
        <v xml:space="preserve"> 0,35 - 0,64</v>
      </c>
      <c r="T199" s="443"/>
      <c r="U199" s="443"/>
      <c r="V199" s="443"/>
    </row>
    <row r="200" spans="1:22" x14ac:dyDescent="0.25">
      <c r="A200" s="113">
        <v>10</v>
      </c>
      <c r="B200" s="113">
        <v>33</v>
      </c>
      <c r="C200" s="84" t="str">
        <f t="shared" si="9"/>
        <v/>
      </c>
      <c r="D200" s="84" t="str">
        <f t="shared" si="10"/>
        <v/>
      </c>
      <c r="E200" s="84" t="str">
        <f t="shared" si="11"/>
        <v/>
      </c>
      <c r="F200" s="518">
        <v>0.44</v>
      </c>
      <c r="G200" s="518">
        <v>0.44</v>
      </c>
      <c r="H200" s="518">
        <v>0.44</v>
      </c>
      <c r="I200" s="453" t="str">
        <f>IF(I$186="","",INDEX(Data!$N$123:$S$134,VLOOKUP('2. Røntgenrør m.m.'!$B200,Data!$L$123:$M$134,2,FALSE),HLOOKUP('2. Røntgenrør m.m.'!I$186,Data!$N$121:$S$122,2,FALSE)))</f>
        <v xml:space="preserve"> 0,36 - 0,63</v>
      </c>
      <c r="J200" s="453" t="str">
        <f>IF(J$186="","",INDEX(Data!$N$123:$S$134,VLOOKUP('2. Røntgenrør m.m.'!$B200,Data!$L$123:$M$134,2,FALSE),HLOOKUP('2. Røntgenrør m.m.'!J$186,Data!$N$121:$S$122,2,FALSE)))</f>
        <v xml:space="preserve"> 0,36 - 0,45</v>
      </c>
      <c r="K200" s="453" t="str">
        <f>IF(K$186="","",INDEX(Data!$N$123:$S$134,VLOOKUP('2. Røntgenrør m.m.'!$B200,Data!$L$123:$M$134,2,FALSE),HLOOKUP('2. Røntgenrør m.m.'!K$186,Data!$N$121:$S$122,2,FALSE)))</f>
        <v xml:space="preserve"> 0,36 - 0,65</v>
      </c>
      <c r="T200" s="443"/>
      <c r="U200" s="443"/>
      <c r="V200" s="443"/>
    </row>
    <row r="201" spans="1:22" x14ac:dyDescent="0.25">
      <c r="A201" s="113">
        <v>11</v>
      </c>
      <c r="B201" s="113">
        <v>34</v>
      </c>
      <c r="C201" s="84" t="str">
        <f t="shared" si="9"/>
        <v/>
      </c>
      <c r="D201" s="84" t="str">
        <f t="shared" si="10"/>
        <v/>
      </c>
      <c r="E201" s="84" t="str">
        <f t="shared" si="11"/>
        <v/>
      </c>
      <c r="F201" s="518">
        <v>0.45</v>
      </c>
      <c r="G201" s="518">
        <v>0.45</v>
      </c>
      <c r="H201" s="518">
        <v>0.45</v>
      </c>
      <c r="I201" s="453" t="str">
        <f>IF(I$186="","",INDEX(Data!$N$123:$S$134,VLOOKUP('2. Røntgenrør m.m.'!$B201,Data!$L$123:$M$134,2,FALSE),HLOOKUP('2. Røntgenrør m.m.'!I$186,Data!$N$121:$S$122,2,FALSE)))</f>
        <v xml:space="preserve"> 0,37 - 0,64</v>
      </c>
      <c r="J201" s="453" t="str">
        <f>IF(J$186="","",INDEX(Data!$N$123:$S$134,VLOOKUP('2. Røntgenrør m.m.'!$B201,Data!$L$123:$M$134,2,FALSE),HLOOKUP('2. Røntgenrør m.m.'!J$186,Data!$N$121:$S$122,2,FALSE)))</f>
        <v xml:space="preserve"> 0,37 - 0,46</v>
      </c>
      <c r="K201" s="453" t="str">
        <f>IF(K$186="","",INDEX(Data!$N$123:$S$134,VLOOKUP('2. Røntgenrør m.m.'!$B201,Data!$L$123:$M$134,2,FALSE),HLOOKUP('2. Røntgenrør m.m.'!K$186,Data!$N$121:$S$122,2,FALSE)))</f>
        <v xml:space="preserve"> 0,37 - 0,66</v>
      </c>
      <c r="T201" s="443"/>
      <c r="U201" s="443"/>
      <c r="V201" s="443"/>
    </row>
    <row r="202" spans="1:22" x14ac:dyDescent="0.25">
      <c r="A202" s="121">
        <v>12</v>
      </c>
      <c r="B202" s="121">
        <v>35</v>
      </c>
      <c r="C202" s="85" t="str">
        <f t="shared" si="9"/>
        <v/>
      </c>
      <c r="D202" s="85" t="str">
        <f t="shared" si="10"/>
        <v/>
      </c>
      <c r="E202" s="85" t="str">
        <f t="shared" si="11"/>
        <v/>
      </c>
      <c r="F202" s="519">
        <v>0.46</v>
      </c>
      <c r="G202" s="519">
        <v>0.46</v>
      </c>
      <c r="H202" s="519">
        <v>0.46</v>
      </c>
      <c r="I202" s="454" t="str">
        <f>IF(I$186="","",INDEX(Data!$N$123:$S$134,VLOOKUP('2. Røntgenrør m.m.'!$B202,Data!$L$123:$M$134,2,FALSE),HLOOKUP('2. Røntgenrør m.m.'!I$186,Data!$N$121:$S$122,2,FALSE)))</f>
        <v xml:space="preserve"> 0,38 - 0,65</v>
      </c>
      <c r="J202" s="454" t="str">
        <f>IF(J$186="","",INDEX(Data!$N$123:$S$134,VLOOKUP('2. Røntgenrør m.m.'!$B202,Data!$L$123:$M$134,2,FALSE),HLOOKUP('2. Røntgenrør m.m.'!J$186,Data!$N$121:$S$122,2,FALSE)))</f>
        <v xml:space="preserve"> 0,38 - 0,47</v>
      </c>
      <c r="K202" s="454" t="str">
        <f>IF(K$186="","",INDEX(Data!$N$123:$S$134,VLOOKUP('2. Røntgenrør m.m.'!$B202,Data!$L$123:$M$134,2,FALSE),HLOOKUP('2. Røntgenrør m.m.'!K$186,Data!$N$121:$S$122,2,FALSE)))</f>
        <v xml:space="preserve"> 0,38 - 0,67</v>
      </c>
      <c r="T202" s="443"/>
      <c r="U202" s="443"/>
      <c r="V202" s="443"/>
    </row>
    <row r="203" spans="1:22" x14ac:dyDescent="0.25">
      <c r="A203" s="174"/>
      <c r="B203" s="174"/>
      <c r="C203" s="43"/>
      <c r="D203" s="43"/>
      <c r="E203" s="45"/>
      <c r="F203" s="43"/>
      <c r="G203" s="45"/>
      <c r="H203" s="43"/>
    </row>
    <row r="204" spans="1:22" x14ac:dyDescent="0.25">
      <c r="A204" s="174"/>
      <c r="B204" s="174"/>
      <c r="C204" s="43"/>
      <c r="D204" s="43"/>
      <c r="E204" s="45"/>
      <c r="F204" s="43"/>
      <c r="G204" s="45"/>
      <c r="H204" s="43"/>
    </row>
    <row r="205" spans="1:22" ht="18.75" x14ac:dyDescent="0.3">
      <c r="A205" s="116" t="s">
        <v>714</v>
      </c>
      <c r="B205" s="137"/>
      <c r="C205" s="137"/>
      <c r="D205" s="137"/>
      <c r="E205" s="137"/>
      <c r="F205" s="137"/>
      <c r="G205" s="137"/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</row>
    <row r="207" spans="1:22" x14ac:dyDescent="0.25">
      <c r="A207" s="150" t="s">
        <v>428</v>
      </c>
      <c r="B207" s="151"/>
      <c r="C207" s="151"/>
      <c r="D207" s="151"/>
      <c r="E207" s="151"/>
      <c r="F207" s="151"/>
      <c r="G207" s="151"/>
      <c r="H207" s="151"/>
      <c r="I207" s="151"/>
      <c r="J207" s="151"/>
      <c r="K207" s="151"/>
      <c r="L207" s="151"/>
      <c r="M207" s="138" t="s">
        <v>421</v>
      </c>
      <c r="N207" s="139"/>
      <c r="O207" s="139"/>
      <c r="P207" s="139"/>
      <c r="Q207" s="139"/>
      <c r="R207" s="139"/>
    </row>
    <row r="208" spans="1:22" x14ac:dyDescent="0.25">
      <c r="A208" s="141" t="s">
        <v>307</v>
      </c>
      <c r="B208" s="119" t="s">
        <v>318</v>
      </c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632"/>
      <c r="N208" s="633"/>
      <c r="O208" s="633"/>
      <c r="P208" s="633"/>
      <c r="Q208" s="633"/>
      <c r="R208" s="634"/>
    </row>
    <row r="209" spans="1:18" x14ac:dyDescent="0.25">
      <c r="A209" s="577" t="s">
        <v>560</v>
      </c>
      <c r="B209" s="711" t="s">
        <v>667</v>
      </c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641"/>
      <c r="N209" s="642"/>
      <c r="O209" s="642"/>
      <c r="P209" s="642"/>
      <c r="Q209" s="642"/>
      <c r="R209" s="643"/>
    </row>
    <row r="210" spans="1:18" x14ac:dyDescent="0.25">
      <c r="A210" s="164" t="s">
        <v>308</v>
      </c>
      <c r="B210" s="120" t="s">
        <v>77</v>
      </c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629"/>
      <c r="N210" s="630"/>
      <c r="O210" s="630"/>
      <c r="P210" s="630"/>
      <c r="Q210" s="630"/>
      <c r="R210" s="631"/>
    </row>
    <row r="211" spans="1:18" x14ac:dyDescent="0.25">
      <c r="A211" s="159" t="s">
        <v>76</v>
      </c>
      <c r="B211" s="168" t="s">
        <v>426</v>
      </c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629"/>
      <c r="N211" s="630"/>
      <c r="O211" s="630"/>
      <c r="P211" s="630"/>
      <c r="Q211" s="630"/>
      <c r="R211" s="631"/>
    </row>
    <row r="212" spans="1:18" x14ac:dyDescent="0.25">
      <c r="A212" s="159"/>
      <c r="B212" s="168" t="s">
        <v>427</v>
      </c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629"/>
      <c r="N212" s="630"/>
      <c r="O212" s="630"/>
      <c r="P212" s="630"/>
      <c r="Q212" s="630"/>
      <c r="R212" s="631"/>
    </row>
    <row r="213" spans="1:18" x14ac:dyDescent="0.25">
      <c r="A213" s="160" t="s">
        <v>100</v>
      </c>
      <c r="B213" s="175" t="s">
        <v>356</v>
      </c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635"/>
      <c r="N213" s="636"/>
      <c r="O213" s="636"/>
      <c r="P213" s="636"/>
      <c r="Q213" s="636"/>
      <c r="R213" s="637"/>
    </row>
    <row r="214" spans="1:18" x14ac:dyDescent="0.25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</row>
    <row r="215" spans="1:18" x14ac:dyDescent="0.25">
      <c r="A215" s="150" t="s">
        <v>431</v>
      </c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  <c r="R215" s="151"/>
    </row>
    <row r="216" spans="1:18" x14ac:dyDescent="0.25">
      <c r="A216" s="145"/>
      <c r="B216" s="169"/>
    </row>
    <row r="217" spans="1:18" x14ac:dyDescent="0.25">
      <c r="A217" s="1" t="s">
        <v>171</v>
      </c>
      <c r="B217" s="559" t="s">
        <v>20</v>
      </c>
      <c r="C217" s="119"/>
      <c r="D217" s="119"/>
      <c r="E217" s="119"/>
      <c r="F217" s="143"/>
      <c r="G217" s="145"/>
      <c r="H217" s="145"/>
      <c r="J217" s="145"/>
      <c r="K217" s="145"/>
      <c r="L217" s="145"/>
      <c r="M217" s="145"/>
      <c r="N217" s="145"/>
    </row>
    <row r="218" spans="1:18" x14ac:dyDescent="0.25">
      <c r="A218" s="9">
        <v>28</v>
      </c>
      <c r="B218" s="586" t="s">
        <v>429</v>
      </c>
      <c r="C218" s="120"/>
      <c r="D218" s="120"/>
      <c r="E218" s="120"/>
      <c r="F218" s="146"/>
    </row>
    <row r="219" spans="1:18" x14ac:dyDescent="0.25">
      <c r="A219" s="2">
        <v>1.9</v>
      </c>
      <c r="B219" s="570" t="s">
        <v>533</v>
      </c>
      <c r="C219" s="122"/>
      <c r="D219" s="122"/>
      <c r="E219" s="122"/>
      <c r="F219" s="148"/>
      <c r="H219" s="145"/>
      <c r="I219" s="126"/>
      <c r="J219" s="126"/>
      <c r="K219" s="126"/>
    </row>
    <row r="220" spans="1:18" x14ac:dyDescent="0.25">
      <c r="A220" s="154" t="s">
        <v>5</v>
      </c>
      <c r="B220" s="154" t="s">
        <v>335</v>
      </c>
      <c r="C220" s="155" t="s">
        <v>354</v>
      </c>
      <c r="D220" s="155" t="s">
        <v>554</v>
      </c>
      <c r="E220" s="155" t="s">
        <v>0</v>
      </c>
      <c r="F220" s="155" t="s">
        <v>558</v>
      </c>
      <c r="H220" s="290"/>
      <c r="I220" s="126"/>
      <c r="J220" s="126"/>
      <c r="K220" s="126"/>
    </row>
    <row r="221" spans="1:18" x14ac:dyDescent="0.25">
      <c r="A221" s="154"/>
      <c r="B221" s="155" t="s">
        <v>17</v>
      </c>
      <c r="C221" s="155" t="s">
        <v>17</v>
      </c>
      <c r="D221" s="155" t="s">
        <v>18</v>
      </c>
      <c r="E221" s="155"/>
      <c r="F221" s="155" t="s">
        <v>559</v>
      </c>
      <c r="H221" s="145"/>
      <c r="I221" s="145"/>
      <c r="J221" s="145"/>
      <c r="K221" s="126"/>
    </row>
    <row r="222" spans="1:18" x14ac:dyDescent="0.25">
      <c r="A222" s="156"/>
      <c r="B222" s="157" t="s">
        <v>332</v>
      </c>
      <c r="C222" s="157" t="s">
        <v>332</v>
      </c>
      <c r="D222" s="535" t="s">
        <v>19</v>
      </c>
      <c r="E222" s="627" t="s">
        <v>541</v>
      </c>
      <c r="F222" s="155" t="s">
        <v>4</v>
      </c>
      <c r="H222" s="158"/>
      <c r="I222" s="145"/>
      <c r="J222" s="145"/>
    </row>
    <row r="223" spans="1:18" x14ac:dyDescent="0.25">
      <c r="A223" s="193">
        <v>1</v>
      </c>
      <c r="B223" s="12">
        <v>100.3</v>
      </c>
      <c r="C223" s="13">
        <v>54.9</v>
      </c>
      <c r="D223" s="29">
        <f>IF(OR(B223="",C223=""),"",B223/C223)</f>
        <v>1.8269581056466302</v>
      </c>
      <c r="E223" s="493" t="str">
        <f>IF(OR(B223="",C223=""),"",IF(D223&gt;3,"IKKE OK","OK"))</f>
        <v>OK</v>
      </c>
      <c r="F223" s="712">
        <f>IF(A219="","",ABS(D223/A219-1)*100)</f>
        <v>3.8443102291247255</v>
      </c>
      <c r="H223" s="43"/>
      <c r="I223" s="47"/>
      <c r="J223" s="145"/>
    </row>
    <row r="226" spans="1:18" x14ac:dyDescent="0.25">
      <c r="A226" s="138" t="s">
        <v>355</v>
      </c>
      <c r="B226" s="139"/>
      <c r="C226" s="139"/>
      <c r="D226" s="139"/>
      <c r="E226" s="139"/>
      <c r="F226" s="139"/>
      <c r="G226" s="139"/>
      <c r="H226" s="139"/>
      <c r="I226" s="139"/>
      <c r="J226" s="139"/>
      <c r="K226" s="139"/>
      <c r="L226" s="139"/>
      <c r="M226" s="139"/>
      <c r="N226" s="139"/>
      <c r="O226" s="139"/>
      <c r="P226" s="139"/>
      <c r="Q226" s="139"/>
      <c r="R226" s="140"/>
    </row>
    <row r="227" spans="1:18" x14ac:dyDescent="0.25">
      <c r="A227" s="632"/>
      <c r="B227" s="633"/>
      <c r="C227" s="633"/>
      <c r="D227" s="633"/>
      <c r="E227" s="633"/>
      <c r="F227" s="633"/>
      <c r="G227" s="633"/>
      <c r="H227" s="633"/>
      <c r="I227" s="633"/>
      <c r="J227" s="633"/>
      <c r="K227" s="633"/>
      <c r="L227" s="633"/>
      <c r="M227" s="633"/>
      <c r="N227" s="633"/>
      <c r="O227" s="633"/>
      <c r="P227" s="633"/>
      <c r="Q227" s="633"/>
      <c r="R227" s="634"/>
    </row>
    <row r="228" spans="1:18" x14ac:dyDescent="0.25">
      <c r="A228" s="629"/>
      <c r="B228" s="630"/>
      <c r="C228" s="630"/>
      <c r="D228" s="630"/>
      <c r="E228" s="630"/>
      <c r="F228" s="630"/>
      <c r="G228" s="630"/>
      <c r="H228" s="630"/>
      <c r="I228" s="630"/>
      <c r="J228" s="630"/>
      <c r="K228" s="630"/>
      <c r="L228" s="630"/>
      <c r="M228" s="630"/>
      <c r="N228" s="630"/>
      <c r="O228" s="630"/>
      <c r="P228" s="630"/>
      <c r="Q228" s="630"/>
      <c r="R228" s="631"/>
    </row>
    <row r="229" spans="1:18" x14ac:dyDescent="0.25">
      <c r="A229" s="629"/>
      <c r="B229" s="630"/>
      <c r="C229" s="630"/>
      <c r="D229" s="630"/>
      <c r="E229" s="630"/>
      <c r="F229" s="630"/>
      <c r="G229" s="630"/>
      <c r="H229" s="630"/>
      <c r="I229" s="630"/>
      <c r="J229" s="630"/>
      <c r="K229" s="630"/>
      <c r="L229" s="630"/>
      <c r="M229" s="630"/>
      <c r="N229" s="630"/>
      <c r="O229" s="630"/>
      <c r="P229" s="630"/>
      <c r="Q229" s="630"/>
      <c r="R229" s="631"/>
    </row>
    <row r="230" spans="1:18" x14ac:dyDescent="0.25">
      <c r="A230" s="629"/>
      <c r="B230" s="630"/>
      <c r="C230" s="630"/>
      <c r="D230" s="630"/>
      <c r="E230" s="630"/>
      <c r="F230" s="630"/>
      <c r="G230" s="630"/>
      <c r="H230" s="630"/>
      <c r="I230" s="630"/>
      <c r="J230" s="630"/>
      <c r="K230" s="630"/>
      <c r="L230" s="630"/>
      <c r="M230" s="630"/>
      <c r="N230" s="630"/>
      <c r="O230" s="630"/>
      <c r="P230" s="630"/>
      <c r="Q230" s="630"/>
      <c r="R230" s="631"/>
    </row>
    <row r="231" spans="1:18" x14ac:dyDescent="0.25">
      <c r="A231" s="635"/>
      <c r="B231" s="636"/>
      <c r="C231" s="636"/>
      <c r="D231" s="636"/>
      <c r="E231" s="636"/>
      <c r="F231" s="636"/>
      <c r="G231" s="636"/>
      <c r="H231" s="636"/>
      <c r="I231" s="636"/>
      <c r="J231" s="636"/>
      <c r="K231" s="636"/>
      <c r="L231" s="636"/>
      <c r="M231" s="636"/>
      <c r="N231" s="636"/>
      <c r="O231" s="636"/>
      <c r="P231" s="636"/>
      <c r="Q231" s="636"/>
      <c r="R231" s="637"/>
    </row>
    <row r="232" spans="1:18" x14ac:dyDescent="0.25">
      <c r="A232" s="174"/>
      <c r="B232" s="174"/>
      <c r="C232" s="43"/>
      <c r="D232" s="43"/>
      <c r="E232" s="45"/>
      <c r="F232" s="43"/>
      <c r="G232" s="45"/>
      <c r="H232" s="43"/>
    </row>
    <row r="233" spans="1:18" x14ac:dyDescent="0.25">
      <c r="A233" s="174"/>
      <c r="B233" s="174"/>
      <c r="C233" s="43"/>
      <c r="D233" s="43"/>
      <c r="E233" s="45"/>
      <c r="F233" s="43"/>
      <c r="G233" s="45"/>
      <c r="H233" s="43"/>
    </row>
  </sheetData>
  <mergeCells count="7">
    <mergeCell ref="I181:K181"/>
    <mergeCell ref="C159:D159"/>
    <mergeCell ref="C160:D161"/>
    <mergeCell ref="C162:D162"/>
    <mergeCell ref="C163:D163"/>
    <mergeCell ref="C164:D164"/>
    <mergeCell ref="C165:D165"/>
  </mergeCells>
  <conditionalFormatting sqref="O31">
    <cfRule type="iconSet" priority="45">
      <iconSet iconSet="3Symbols2">
        <cfvo type="percent" val="0"/>
        <cfvo type="percent" val="33"/>
        <cfvo type="percent" val="&quot;NEJ&quot;"/>
      </iconSet>
    </cfRule>
  </conditionalFormatting>
  <conditionalFormatting sqref="F81">
    <cfRule type="cellIs" dxfId="92" priority="31" operator="equal">
      <formula>"OK"</formula>
    </cfRule>
    <cfRule type="cellIs" dxfId="91" priority="44" operator="equal">
      <formula>"IKKE OK"</formula>
    </cfRule>
  </conditionalFormatting>
  <conditionalFormatting sqref="E58">
    <cfRule type="cellIs" dxfId="90" priority="32" operator="equal">
      <formula>"IKKE OK"</formula>
    </cfRule>
    <cfRule type="cellIs" dxfId="89" priority="33" operator="equal">
      <formula>"OK"</formula>
    </cfRule>
  </conditionalFormatting>
  <conditionalFormatting sqref="F162">
    <cfRule type="cellIs" dxfId="88" priority="17" operator="equal">
      <formula>"OK"</formula>
    </cfRule>
    <cfRule type="cellIs" dxfId="87" priority="18" operator="equal">
      <formula>"IKKE OK"</formula>
    </cfRule>
  </conditionalFormatting>
  <conditionalFormatting sqref="C162">
    <cfRule type="cellIs" dxfId="86" priority="15" operator="equal">
      <formula>"Ikke OK"</formula>
    </cfRule>
    <cfRule type="cellIs" dxfId="85" priority="16" operator="equal">
      <formula>"OK"</formula>
    </cfRule>
  </conditionalFormatting>
  <conditionalFormatting sqref="E28">
    <cfRule type="cellIs" dxfId="84" priority="11" operator="equal">
      <formula>"IKKE OK"</formula>
    </cfRule>
    <cfRule type="cellIs" dxfId="83" priority="12" operator="equal">
      <formula>"OK"</formula>
    </cfRule>
  </conditionalFormatting>
  <conditionalFormatting sqref="E29:E37">
    <cfRule type="cellIs" dxfId="82" priority="9" operator="equal">
      <formula>"IKKE OK"</formula>
    </cfRule>
    <cfRule type="cellIs" dxfId="81" priority="10" operator="equal">
      <formula>"OK"</formula>
    </cfRule>
  </conditionalFormatting>
  <conditionalFormatting sqref="E223">
    <cfRule type="cellIs" dxfId="80" priority="7" operator="equal">
      <formula>"OK"</formula>
    </cfRule>
    <cfRule type="cellIs" dxfId="79" priority="8" operator="equal">
      <formula>"IKKE OK"</formula>
    </cfRule>
  </conditionalFormatting>
  <conditionalFormatting sqref="F223">
    <cfRule type="cellIs" dxfId="78" priority="5" operator="equal">
      <formula>"OK"</formula>
    </cfRule>
    <cfRule type="cellIs" dxfId="77" priority="6" operator="equal">
      <formula>"IKKE OK"</formula>
    </cfRule>
  </conditionalFormatting>
  <conditionalFormatting sqref="C163:C164">
    <cfRule type="cellIs" dxfId="76" priority="3" operator="equal">
      <formula>"Ikke OK"</formula>
    </cfRule>
    <cfRule type="cellIs" dxfId="75" priority="4" operator="equal">
      <formula>"OK"</formula>
    </cfRule>
  </conditionalFormatting>
  <conditionalFormatting sqref="C165">
    <cfRule type="cellIs" dxfId="74" priority="1" operator="equal">
      <formula>"Ikke OK"</formula>
    </cfRule>
    <cfRule type="cellIs" dxfId="73" priority="2" operator="equal">
      <formula>"OK"</formula>
    </cfRule>
  </conditionalFormatting>
  <pageMargins left="0.51" right="0.28000000000000003" top="0.51181102362204722" bottom="0.43307086614173229" header="0.31496062992125984" footer="0.31496062992125984"/>
  <pageSetup paperSize="9" scale="80" orientation="landscape" r:id="rId1"/>
  <headerFooter>
    <oddHeader>&amp;C&amp;P / &amp;N</oddHeader>
  </headerFooter>
  <ignoredErrors>
    <ignoredError sqref="C191:C202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Data!$D$76:$D$89</xm:f>
          </x14:formula1>
          <xm:sqref>A53 A77 A158 A218 B28:B37</xm:sqref>
        </x14:dataValidation>
        <x14:dataValidation type="list" allowBlank="1" showInputMessage="1" showErrorMessage="1">
          <x14:formula1>
            <xm:f>Data!$A$76:$A$83</xm:f>
          </x14:formula1>
          <xm:sqref>A24 A52 A76 A106 G106 M106 A157 F186:H186 A217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3"/>
  <sheetViews>
    <sheetView topLeftCell="A64" zoomScaleNormal="100" workbookViewId="0">
      <selection activeCell="U58" sqref="U58"/>
    </sheetView>
  </sheetViews>
  <sheetFormatPr defaultColWidth="9.140625" defaultRowHeight="15" x14ac:dyDescent="0.25"/>
  <cols>
    <col min="1" max="1" width="11.85546875" style="94" customWidth="1"/>
    <col min="2" max="2" width="9.140625" style="94" customWidth="1"/>
    <col min="3" max="3" width="9.7109375" style="94" customWidth="1"/>
    <col min="4" max="4" width="10.5703125" style="94" customWidth="1"/>
    <col min="5" max="5" width="10.7109375" style="94" customWidth="1"/>
    <col min="6" max="6" width="11.7109375" style="94" customWidth="1"/>
    <col min="7" max="8" width="9.140625" style="94" customWidth="1"/>
    <col min="9" max="12" width="11.42578125" style="94" customWidth="1"/>
    <col min="13" max="14" width="9.140625" style="94" customWidth="1"/>
    <col min="15" max="16384" width="9.140625" style="94"/>
  </cols>
  <sheetData>
    <row r="1" spans="1:19" x14ac:dyDescent="0.25">
      <c r="A1" s="89" t="s">
        <v>280</v>
      </c>
      <c r="B1" s="90"/>
      <c r="C1" s="90"/>
      <c r="D1" s="91" t="str">
        <f>IF(Oplysningsside!B9="","",Oplysningsside!B9)</f>
        <v>Region H</v>
      </c>
      <c r="E1" s="90"/>
      <c r="F1" s="90"/>
      <c r="G1" s="92" t="s">
        <v>281</v>
      </c>
      <c r="H1" s="90"/>
      <c r="I1" s="91" t="str">
        <f>IF(Oplysningsside!B23="","",Oplysningsside!B23)</f>
        <v>Modtagekontrol</v>
      </c>
      <c r="J1" s="90"/>
      <c r="K1" s="90"/>
      <c r="L1" s="90"/>
      <c r="M1" s="92" t="s">
        <v>282</v>
      </c>
      <c r="N1" s="90"/>
      <c r="O1" s="91" t="str">
        <f>IF(Oplysningsside!B22="","",Oplysningsside!B22)</f>
        <v>Siemens</v>
      </c>
      <c r="P1" s="91"/>
      <c r="Q1" s="90"/>
      <c r="R1" s="90"/>
      <c r="S1" s="159"/>
    </row>
    <row r="2" spans="1:19" x14ac:dyDescent="0.25">
      <c r="A2" s="95" t="s">
        <v>283</v>
      </c>
      <c r="B2" s="96"/>
      <c r="C2" s="96"/>
      <c r="D2" s="97" t="str">
        <f>IF(Oplysningsside!B10="","",Oplysningsside!B10)</f>
        <v>HGH Gentofte</v>
      </c>
      <c r="E2" s="96"/>
      <c r="F2" s="96"/>
      <c r="G2" s="98" t="s">
        <v>284</v>
      </c>
      <c r="H2" s="96"/>
      <c r="I2" s="97" t="str">
        <f>IF(Oplysningsside!B15="","",Oplysningsside!B15)</f>
        <v>Revelation</v>
      </c>
      <c r="J2" s="96"/>
      <c r="K2" s="96"/>
      <c r="L2" s="96"/>
      <c r="M2" s="98" t="s">
        <v>285</v>
      </c>
      <c r="N2" s="96"/>
      <c r="O2" s="97" t="str">
        <f>IF(Oplysningsside!B24="","",Oplysningsside!B24)</f>
        <v>01.01.2022</v>
      </c>
      <c r="P2" s="97"/>
      <c r="Q2" s="96"/>
      <c r="R2" s="96"/>
      <c r="S2" s="159"/>
    </row>
    <row r="3" spans="1:19" x14ac:dyDescent="0.25">
      <c r="A3" s="100" t="s">
        <v>286</v>
      </c>
      <c r="B3" s="96"/>
      <c r="C3" s="96"/>
      <c r="D3" s="97" t="str">
        <f>IF(Oplysningsside!B11="","",Oplysningsside!B11)</f>
        <v>Gentofte Screening</v>
      </c>
      <c r="E3" s="96"/>
      <c r="F3" s="96"/>
      <c r="G3" s="98" t="s">
        <v>287</v>
      </c>
      <c r="H3" s="96"/>
      <c r="I3" s="101">
        <f>IF(Oplysningsside!B16="","",Oplysningsside!B16)</f>
        <v>1234</v>
      </c>
      <c r="J3" s="96"/>
      <c r="K3" s="96"/>
      <c r="L3" s="96"/>
      <c r="M3" s="98" t="s">
        <v>288</v>
      </c>
      <c r="N3" s="96"/>
      <c r="O3" s="97" t="str">
        <f>IF(Oplysningsside!B26="","",Oplysningsside!B26)</f>
        <v>EA</v>
      </c>
      <c r="P3" s="97"/>
      <c r="Q3" s="96"/>
      <c r="R3" s="96"/>
      <c r="S3" s="159"/>
    </row>
    <row r="4" spans="1:19" x14ac:dyDescent="0.25">
      <c r="A4" s="95" t="s">
        <v>289</v>
      </c>
      <c r="B4" s="96"/>
      <c r="C4" s="96"/>
      <c r="D4" s="97" t="str">
        <f>IF(Oplysningsside!B12="","",Oplysningsside!B12)</f>
        <v>MAM 1</v>
      </c>
      <c r="E4" s="96"/>
      <c r="F4" s="96"/>
      <c r="G4" s="98" t="s">
        <v>290</v>
      </c>
      <c r="H4" s="96"/>
      <c r="I4" s="101">
        <f>IF(Oplysningsside!B17="","",Oplysningsside!B17)</f>
        <v>1234</v>
      </c>
      <c r="J4" s="96"/>
      <c r="K4" s="96"/>
      <c r="L4" s="96"/>
      <c r="M4" s="96" t="s">
        <v>291</v>
      </c>
      <c r="N4" s="96"/>
      <c r="O4" s="97" t="str">
        <f>IF(Oplysningsside!B25="","",Oplysningsside!B25)</f>
        <v>01.01.2022</v>
      </c>
      <c r="P4" s="97"/>
      <c r="Q4" s="96"/>
      <c r="R4" s="96"/>
      <c r="S4" s="159"/>
    </row>
    <row r="5" spans="1:19" x14ac:dyDescent="0.25">
      <c r="A5" s="102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59"/>
    </row>
    <row r="7" spans="1:19" ht="26.25" x14ac:dyDescent="0.4">
      <c r="A7" s="133" t="s">
        <v>709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6" t="str">
        <f>IF(Oplysningsside!$B$23="","",Oplysningsside!$B$23)</f>
        <v>Modtagekontrol</v>
      </c>
      <c r="P7" s="134"/>
      <c r="Q7" s="135"/>
      <c r="R7" s="136" t="str">
        <f>IF(Oplysningsside!$B$24="","",Oplysningsside!$B$24)</f>
        <v>01.01.2022</v>
      </c>
    </row>
    <row r="9" spans="1:19" ht="18.75" x14ac:dyDescent="0.3">
      <c r="A9" s="116" t="s">
        <v>542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</row>
    <row r="11" spans="1:19" x14ac:dyDescent="0.25">
      <c r="A11" s="150" t="s">
        <v>432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0" t="s">
        <v>421</v>
      </c>
      <c r="N11" s="151"/>
      <c r="O11" s="151"/>
      <c r="P11" s="151"/>
      <c r="Q11" s="151"/>
      <c r="R11" s="151"/>
    </row>
    <row r="12" spans="1:19" x14ac:dyDescent="0.25">
      <c r="A12" s="141" t="s">
        <v>307</v>
      </c>
      <c r="B12" s="119" t="s">
        <v>65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564"/>
      <c r="N12" s="565"/>
      <c r="O12" s="565"/>
      <c r="P12" s="565"/>
      <c r="Q12" s="565"/>
      <c r="R12" s="566"/>
    </row>
    <row r="13" spans="1:19" x14ac:dyDescent="0.25">
      <c r="A13" s="144" t="s">
        <v>560</v>
      </c>
      <c r="B13" s="114" t="s">
        <v>131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641"/>
      <c r="N13" s="642"/>
      <c r="O13" s="642"/>
      <c r="P13" s="642"/>
      <c r="Q13" s="642"/>
      <c r="R13" s="643"/>
    </row>
    <row r="14" spans="1:19" x14ac:dyDescent="0.25">
      <c r="A14" s="164" t="s">
        <v>308</v>
      </c>
      <c r="B14" s="120" t="s">
        <v>562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561"/>
      <c r="N14" s="562"/>
      <c r="O14" s="562"/>
      <c r="P14" s="562"/>
      <c r="Q14" s="562"/>
      <c r="R14" s="563"/>
    </row>
    <row r="15" spans="1:19" ht="18" x14ac:dyDescent="0.35">
      <c r="A15" s="164" t="s">
        <v>76</v>
      </c>
      <c r="B15" s="120" t="s">
        <v>648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561"/>
      <c r="N15" s="562"/>
      <c r="O15" s="562"/>
      <c r="P15" s="562"/>
      <c r="Q15" s="562"/>
      <c r="R15" s="563"/>
    </row>
    <row r="16" spans="1:19" x14ac:dyDescent="0.25">
      <c r="A16" s="160" t="s">
        <v>100</v>
      </c>
      <c r="B16" s="175" t="s">
        <v>68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567"/>
      <c r="N16" s="568"/>
      <c r="O16" s="568"/>
      <c r="P16" s="568"/>
      <c r="Q16" s="568"/>
      <c r="R16" s="569"/>
    </row>
    <row r="17" spans="1:22" x14ac:dyDescent="0.25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</row>
    <row r="18" spans="1:22" x14ac:dyDescent="0.25">
      <c r="A18" s="150" t="s">
        <v>433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</row>
    <row r="19" spans="1:22" x14ac:dyDescent="0.25">
      <c r="A19" s="145"/>
      <c r="B19" s="169"/>
    </row>
    <row r="20" spans="1:22" x14ac:dyDescent="0.25">
      <c r="A20" s="1" t="s">
        <v>171</v>
      </c>
      <c r="B20" s="559" t="s">
        <v>312</v>
      </c>
      <c r="C20" s="119"/>
      <c r="D20" s="119"/>
      <c r="E20" s="119"/>
      <c r="F20" s="119"/>
      <c r="G20" s="119"/>
      <c r="H20" s="143"/>
    </row>
    <row r="21" spans="1:22" x14ac:dyDescent="0.25">
      <c r="A21" s="9">
        <v>28</v>
      </c>
      <c r="B21" s="586" t="s">
        <v>531</v>
      </c>
      <c r="C21" s="120"/>
      <c r="D21" s="120"/>
      <c r="E21" s="120"/>
      <c r="F21" s="120"/>
      <c r="G21" s="120"/>
      <c r="H21" s="146"/>
      <c r="I21" s="145"/>
      <c r="J21" s="145"/>
      <c r="K21" s="145"/>
      <c r="L21" s="145"/>
      <c r="M21" s="145"/>
      <c r="N21" s="145"/>
      <c r="O21" s="145"/>
      <c r="P21" s="145"/>
    </row>
    <row r="22" spans="1:22" x14ac:dyDescent="0.25">
      <c r="A22" s="9">
        <v>42.1</v>
      </c>
      <c r="B22" s="586" t="s">
        <v>532</v>
      </c>
      <c r="C22" s="120"/>
      <c r="D22" s="120"/>
      <c r="E22" s="120"/>
      <c r="F22" s="120"/>
      <c r="G22" s="120"/>
      <c r="H22" s="146"/>
      <c r="I22" s="145"/>
      <c r="J22" s="145"/>
      <c r="K22" s="145"/>
      <c r="L22" s="145"/>
      <c r="M22" s="145"/>
      <c r="N22" s="145"/>
      <c r="O22" s="145"/>
      <c r="P22" s="145"/>
      <c r="Q22" s="145"/>
      <c r="R22" s="145"/>
    </row>
    <row r="23" spans="1:22" x14ac:dyDescent="0.25">
      <c r="A23" s="2">
        <v>100</v>
      </c>
      <c r="B23" s="596" t="s">
        <v>564</v>
      </c>
      <c r="C23" s="122"/>
      <c r="D23" s="122"/>
      <c r="E23" s="122"/>
      <c r="F23" s="122"/>
      <c r="G23" s="122"/>
      <c r="H23" s="148"/>
      <c r="I23" s="145"/>
      <c r="J23" s="145"/>
      <c r="K23" s="145"/>
      <c r="L23" s="145"/>
      <c r="M23" s="145"/>
      <c r="N23" s="145"/>
      <c r="O23" s="145"/>
      <c r="P23" s="145"/>
      <c r="Q23" s="145"/>
      <c r="R23" s="145"/>
    </row>
    <row r="24" spans="1:22" x14ac:dyDescent="0.25">
      <c r="A24" s="154" t="s">
        <v>5</v>
      </c>
      <c r="B24" s="196" t="s">
        <v>70</v>
      </c>
      <c r="C24" s="139"/>
      <c r="D24" s="139"/>
      <c r="E24" s="197"/>
      <c r="F24" s="154" t="s">
        <v>69</v>
      </c>
      <c r="G24" s="154" t="s">
        <v>96</v>
      </c>
      <c r="H24" s="154" t="s">
        <v>0</v>
      </c>
      <c r="I24" s="145"/>
      <c r="J24" s="145"/>
      <c r="K24" s="145"/>
      <c r="L24" s="145"/>
      <c r="M24" s="145"/>
      <c r="N24" s="145"/>
      <c r="O24" s="165"/>
      <c r="P24" s="165"/>
      <c r="Q24" s="165"/>
      <c r="R24" s="145"/>
    </row>
    <row r="25" spans="1:22" x14ac:dyDescent="0.25">
      <c r="A25" s="195"/>
      <c r="B25" s="196"/>
      <c r="C25" s="139"/>
      <c r="D25" s="139"/>
      <c r="E25" s="197"/>
      <c r="F25" s="154" t="s">
        <v>563</v>
      </c>
      <c r="G25" s="154" t="s">
        <v>97</v>
      </c>
      <c r="H25" s="154"/>
      <c r="I25" s="145"/>
      <c r="J25" s="145"/>
      <c r="K25" s="145"/>
      <c r="L25" s="145"/>
      <c r="M25" s="145"/>
      <c r="N25" s="145"/>
      <c r="O25" s="165"/>
      <c r="P25" s="165"/>
      <c r="Q25" s="165"/>
      <c r="R25" s="145"/>
    </row>
    <row r="26" spans="1:22" x14ac:dyDescent="0.25">
      <c r="A26" s="198"/>
      <c r="B26" s="199"/>
      <c r="C26" s="151"/>
      <c r="D26" s="151"/>
      <c r="E26" s="200"/>
      <c r="F26" s="156" t="s">
        <v>83</v>
      </c>
      <c r="G26" s="156" t="s">
        <v>18</v>
      </c>
      <c r="H26" s="156"/>
      <c r="I26" s="145"/>
      <c r="J26" s="145"/>
      <c r="K26" s="145"/>
      <c r="L26" s="145"/>
      <c r="M26" s="145"/>
      <c r="N26" s="145"/>
      <c r="O26" s="165"/>
      <c r="P26" s="165"/>
      <c r="Q26" s="165"/>
      <c r="R26" s="145"/>
    </row>
    <row r="27" spans="1:22" x14ac:dyDescent="0.25">
      <c r="A27" s="193">
        <v>1</v>
      </c>
      <c r="B27" s="660" t="s">
        <v>326</v>
      </c>
      <c r="C27" s="469"/>
      <c r="D27" s="661"/>
      <c r="E27" s="662"/>
      <c r="F27" s="12">
        <v>98</v>
      </c>
      <c r="G27" s="663">
        <f>IF(OR(F27="",$A$23=""),"",F27/$A$23)</f>
        <v>0.98</v>
      </c>
      <c r="H27" s="493" t="str">
        <f>IF(OR(F27="",$A$23=""),"",IF(OR(G27&lt;0.9,G27&gt;1.1),"IKKE OK","OK"))</f>
        <v>OK</v>
      </c>
      <c r="I27" s="145"/>
      <c r="J27" s="190"/>
      <c r="K27" s="145"/>
      <c r="L27" s="145"/>
      <c r="M27" s="145"/>
      <c r="N27" s="145"/>
      <c r="O27" s="165"/>
      <c r="P27" s="165"/>
      <c r="Q27" s="165"/>
      <c r="R27" s="145"/>
      <c r="S27" s="126"/>
      <c r="T27" s="126"/>
      <c r="U27" s="126"/>
      <c r="V27" s="126"/>
    </row>
    <row r="28" spans="1:22" x14ac:dyDescent="0.25">
      <c r="H28" s="158"/>
      <c r="I28" s="145"/>
      <c r="J28" s="190"/>
      <c r="K28" s="145"/>
      <c r="L28" s="145"/>
      <c r="M28" s="145"/>
      <c r="N28" s="145"/>
      <c r="O28" s="43"/>
      <c r="P28" s="43"/>
      <c r="Q28" s="43"/>
      <c r="R28" s="145"/>
      <c r="S28" s="126"/>
      <c r="T28" s="126"/>
      <c r="U28" s="126"/>
      <c r="V28" s="126"/>
    </row>
    <row r="30" spans="1:22" ht="18.75" x14ac:dyDescent="0.3">
      <c r="A30" s="116" t="s">
        <v>644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T30" s="581"/>
    </row>
    <row r="31" spans="1:22" x14ac:dyDescent="0.25">
      <c r="T31" s="581"/>
    </row>
    <row r="32" spans="1:22" x14ac:dyDescent="0.25">
      <c r="A32" s="150" t="s">
        <v>434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0" t="s">
        <v>421</v>
      </c>
      <c r="N32" s="151"/>
      <c r="O32" s="151"/>
      <c r="P32" s="151"/>
      <c r="Q32" s="151"/>
      <c r="R32" s="151"/>
    </row>
    <row r="33" spans="1:23" x14ac:dyDescent="0.25">
      <c r="A33" s="141" t="s">
        <v>307</v>
      </c>
      <c r="B33" s="119" t="s">
        <v>65</v>
      </c>
      <c r="C33" s="119"/>
      <c r="D33" s="119"/>
      <c r="E33" s="203"/>
      <c r="F33" s="119"/>
      <c r="G33" s="119"/>
      <c r="H33" s="119"/>
      <c r="I33" s="119"/>
      <c r="J33" s="119"/>
      <c r="K33" s="119"/>
      <c r="L33" s="119"/>
      <c r="M33" s="564"/>
      <c r="N33" s="565"/>
      <c r="O33" s="565"/>
      <c r="P33" s="565"/>
      <c r="Q33" s="565"/>
      <c r="R33" s="566"/>
      <c r="S33" s="126"/>
      <c r="T33" s="126"/>
      <c r="U33" s="126"/>
    </row>
    <row r="34" spans="1:23" x14ac:dyDescent="0.25">
      <c r="A34" s="713" t="s">
        <v>560</v>
      </c>
      <c r="B34" s="713" t="s">
        <v>561</v>
      </c>
      <c r="C34" s="120"/>
      <c r="D34" s="120"/>
      <c r="E34" s="206"/>
      <c r="F34" s="120"/>
      <c r="G34" s="120"/>
      <c r="H34" s="120"/>
      <c r="I34" s="120"/>
      <c r="J34" s="120"/>
      <c r="K34" s="120"/>
      <c r="L34" s="120"/>
      <c r="M34" s="641"/>
      <c r="N34" s="642"/>
      <c r="O34" s="642"/>
      <c r="P34" s="642"/>
      <c r="Q34" s="642"/>
      <c r="R34" s="643"/>
      <c r="S34" s="126"/>
      <c r="T34" s="126"/>
      <c r="U34" s="126"/>
    </row>
    <row r="35" spans="1:23" x14ac:dyDescent="0.25">
      <c r="A35" s="164" t="s">
        <v>308</v>
      </c>
      <c r="B35" s="120" t="s">
        <v>565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561"/>
      <c r="N35" s="562"/>
      <c r="O35" s="562"/>
      <c r="P35" s="562"/>
      <c r="Q35" s="562"/>
      <c r="R35" s="563"/>
      <c r="S35" s="126"/>
      <c r="T35" s="126"/>
      <c r="U35" s="126"/>
    </row>
    <row r="36" spans="1:23" x14ac:dyDescent="0.25">
      <c r="A36" s="164" t="s">
        <v>76</v>
      </c>
      <c r="B36" s="120" t="s">
        <v>274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561"/>
      <c r="N36" s="562"/>
      <c r="O36" s="562"/>
      <c r="P36" s="562"/>
      <c r="Q36" s="562"/>
      <c r="R36" s="563"/>
    </row>
    <row r="37" spans="1:23" x14ac:dyDescent="0.25">
      <c r="A37" s="164"/>
      <c r="B37" s="105" t="s">
        <v>649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619"/>
      <c r="N37" s="620"/>
      <c r="O37" s="620"/>
      <c r="P37" s="620"/>
      <c r="Q37" s="620"/>
      <c r="R37" s="621"/>
    </row>
    <row r="38" spans="1:23" x14ac:dyDescent="0.25">
      <c r="A38" s="160" t="s">
        <v>100</v>
      </c>
      <c r="B38" s="175" t="s">
        <v>574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574"/>
      <c r="N38" s="543"/>
      <c r="O38" s="543"/>
      <c r="P38" s="543"/>
      <c r="Q38" s="543"/>
      <c r="R38" s="575"/>
    </row>
    <row r="39" spans="1:23" x14ac:dyDescent="0.25">
      <c r="A39" s="142"/>
      <c r="B39" s="163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</row>
    <row r="40" spans="1:23" x14ac:dyDescent="0.25">
      <c r="A40" s="150" t="s">
        <v>438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</row>
    <row r="41" spans="1:23" x14ac:dyDescent="0.25">
      <c r="A41" s="145"/>
      <c r="B41" s="169"/>
    </row>
    <row r="42" spans="1:23" x14ac:dyDescent="0.25">
      <c r="A42" s="1" t="s">
        <v>171</v>
      </c>
      <c r="B42" s="170" t="s">
        <v>309</v>
      </c>
      <c r="C42" s="143"/>
      <c r="D42" s="698" t="s">
        <v>597</v>
      </c>
      <c r="E42" s="203" t="s">
        <v>598</v>
      </c>
      <c r="F42" s="119"/>
      <c r="G42" s="203"/>
      <c r="H42" s="205"/>
      <c r="I42" s="698" t="s">
        <v>436</v>
      </c>
      <c r="J42" s="203" t="s">
        <v>598</v>
      </c>
      <c r="K42" s="119"/>
      <c r="L42" s="203"/>
      <c r="M42" s="205"/>
      <c r="N42" s="578"/>
      <c r="O42" s="578"/>
      <c r="P42" s="120"/>
    </row>
    <row r="43" spans="1:23" x14ac:dyDescent="0.25">
      <c r="A43" s="9">
        <v>28</v>
      </c>
      <c r="B43" s="586" t="s">
        <v>531</v>
      </c>
      <c r="C43" s="268"/>
      <c r="D43" s="164"/>
      <c r="E43" s="578"/>
      <c r="F43" s="578"/>
      <c r="G43" s="578"/>
      <c r="H43" s="668"/>
      <c r="I43" s="164"/>
      <c r="J43" s="578"/>
      <c r="K43" s="578"/>
      <c r="L43" s="578"/>
      <c r="M43" s="668"/>
      <c r="N43" s="578"/>
      <c r="O43" s="578"/>
      <c r="P43" s="120"/>
    </row>
    <row r="44" spans="1:23" x14ac:dyDescent="0.25">
      <c r="A44" s="86">
        <v>50</v>
      </c>
      <c r="B44" s="597" t="s">
        <v>532</v>
      </c>
      <c r="C44" s="268"/>
      <c r="D44" s="207"/>
      <c r="E44" s="206"/>
      <c r="F44" s="206"/>
      <c r="G44" s="206"/>
      <c r="H44" s="208"/>
      <c r="I44" s="207"/>
      <c r="J44" s="206"/>
      <c r="K44" s="206"/>
      <c r="L44" s="206"/>
      <c r="M44" s="208"/>
      <c r="N44" s="578"/>
      <c r="O44" s="578"/>
      <c r="P44" s="120"/>
      <c r="S44" s="126"/>
      <c r="U44" s="126"/>
      <c r="V44" s="598"/>
      <c r="W44" s="126"/>
    </row>
    <row r="45" spans="1:23" x14ac:dyDescent="0.25">
      <c r="A45" s="86">
        <v>0.3</v>
      </c>
      <c r="B45" s="190" t="s">
        <v>596</v>
      </c>
      <c r="C45" s="208"/>
      <c r="D45" s="207"/>
      <c r="E45" s="206"/>
      <c r="F45" s="206"/>
      <c r="G45" s="206"/>
      <c r="H45" s="208"/>
      <c r="I45" s="207"/>
      <c r="J45" s="206"/>
      <c r="K45" s="206"/>
      <c r="L45" s="206"/>
      <c r="M45" s="208"/>
      <c r="N45" s="578"/>
      <c r="O45" s="578"/>
      <c r="P45" s="120"/>
      <c r="S45" s="145"/>
      <c r="U45" s="145"/>
      <c r="V45" s="126"/>
    </row>
    <row r="46" spans="1:23" x14ac:dyDescent="0.25">
      <c r="A46" s="88">
        <v>640</v>
      </c>
      <c r="B46" s="596" t="s">
        <v>435</v>
      </c>
      <c r="C46" s="180"/>
      <c r="D46" s="210"/>
      <c r="E46" s="209"/>
      <c r="F46" s="209"/>
      <c r="G46" s="209"/>
      <c r="H46" s="211"/>
      <c r="I46" s="210"/>
      <c r="J46" s="209"/>
      <c r="K46" s="209"/>
      <c r="L46" s="209"/>
      <c r="M46" s="211"/>
      <c r="N46" s="578"/>
      <c r="O46" s="578"/>
      <c r="P46" s="120"/>
      <c r="Q46" s="145"/>
      <c r="R46" s="145"/>
      <c r="S46" s="145"/>
      <c r="U46" s="145"/>
      <c r="V46" s="126"/>
      <c r="W46" s="126"/>
    </row>
    <row r="47" spans="1:23" x14ac:dyDescent="0.25">
      <c r="A47" s="234"/>
      <c r="B47" s="541"/>
      <c r="C47" s="542"/>
      <c r="D47" s="793" t="s">
        <v>566</v>
      </c>
      <c r="E47" s="794"/>
      <c r="F47" s="794"/>
      <c r="G47" s="794"/>
      <c r="H47" s="795"/>
      <c r="I47" s="793" t="s">
        <v>566</v>
      </c>
      <c r="J47" s="794"/>
      <c r="K47" s="794"/>
      <c r="L47" s="794"/>
      <c r="M47" s="795"/>
      <c r="N47" s="669"/>
      <c r="O47" s="578"/>
      <c r="P47" s="145"/>
      <c r="Q47" s="165"/>
      <c r="R47" s="145"/>
      <c r="U47" s="145"/>
      <c r="V47" s="126"/>
      <c r="W47" s="126"/>
    </row>
    <row r="48" spans="1:23" x14ac:dyDescent="0.25">
      <c r="A48" s="212" t="s">
        <v>63</v>
      </c>
      <c r="B48" s="213" t="s">
        <v>567</v>
      </c>
      <c r="C48" s="214"/>
      <c r="D48" s="215" t="s">
        <v>568</v>
      </c>
      <c r="E48" s="216" t="s">
        <v>569</v>
      </c>
      <c r="F48" s="216" t="s">
        <v>570</v>
      </c>
      <c r="G48" s="216" t="s">
        <v>349</v>
      </c>
      <c r="H48" s="217" t="s">
        <v>0</v>
      </c>
      <c r="I48" s="215" t="s">
        <v>568</v>
      </c>
      <c r="J48" s="216" t="s">
        <v>569</v>
      </c>
      <c r="K48" s="216" t="s">
        <v>570</v>
      </c>
      <c r="L48" s="216" t="s">
        <v>349</v>
      </c>
      <c r="M48" s="217" t="s">
        <v>0</v>
      </c>
      <c r="N48" s="669"/>
      <c r="O48" s="578"/>
      <c r="P48" s="145"/>
      <c r="Q48" s="165"/>
      <c r="R48" s="145"/>
      <c r="T48" s="145"/>
      <c r="U48" s="145"/>
      <c r="V48" s="126"/>
      <c r="W48" s="126"/>
    </row>
    <row r="49" spans="1:23" x14ac:dyDescent="0.25">
      <c r="A49" s="212"/>
      <c r="B49" s="213"/>
      <c r="C49" s="214"/>
      <c r="D49" s="664" t="s">
        <v>512</v>
      </c>
      <c r="E49" s="665" t="s">
        <v>512</v>
      </c>
      <c r="F49" s="665" t="s">
        <v>31</v>
      </c>
      <c r="G49" s="665" t="s">
        <v>572</v>
      </c>
      <c r="H49" s="666"/>
      <c r="I49" s="664" t="s">
        <v>512</v>
      </c>
      <c r="J49" s="665" t="s">
        <v>512</v>
      </c>
      <c r="K49" s="665" t="s">
        <v>31</v>
      </c>
      <c r="L49" s="665" t="s">
        <v>572</v>
      </c>
      <c r="M49" s="666"/>
      <c r="N49" s="669"/>
      <c r="O49" s="578"/>
      <c r="P49" s="145"/>
      <c r="Q49" s="165"/>
      <c r="R49" s="145"/>
      <c r="T49" s="145"/>
      <c r="U49" s="145"/>
      <c r="V49" s="126"/>
      <c r="W49" s="126"/>
    </row>
    <row r="50" spans="1:23" x14ac:dyDescent="0.25">
      <c r="A50" s="672"/>
      <c r="B50" s="213"/>
      <c r="C50" s="214"/>
      <c r="D50" s="218" t="s">
        <v>571</v>
      </c>
      <c r="E50" s="219" t="s">
        <v>571</v>
      </c>
      <c r="F50" s="219" t="s">
        <v>571</v>
      </c>
      <c r="G50" s="219" t="s">
        <v>311</v>
      </c>
      <c r="H50" s="675" t="s">
        <v>573</v>
      </c>
      <c r="I50" s="218" t="s">
        <v>571</v>
      </c>
      <c r="J50" s="219" t="s">
        <v>571</v>
      </c>
      <c r="K50" s="219" t="s">
        <v>571</v>
      </c>
      <c r="L50" s="219" t="s">
        <v>311</v>
      </c>
      <c r="M50" s="675" t="s">
        <v>573</v>
      </c>
      <c r="N50" s="669"/>
      <c r="O50" s="578"/>
      <c r="P50" s="145"/>
      <c r="Q50" s="165"/>
      <c r="R50" s="145"/>
      <c r="T50" s="145"/>
      <c r="U50" s="145"/>
      <c r="V50" s="126"/>
      <c r="W50" s="126"/>
    </row>
    <row r="51" spans="1:23" x14ac:dyDescent="0.25">
      <c r="A51" s="220">
        <v>1</v>
      </c>
      <c r="B51" s="221" t="s">
        <v>74</v>
      </c>
      <c r="C51" s="205"/>
      <c r="D51" s="309">
        <v>0</v>
      </c>
      <c r="E51" s="309">
        <v>0.6</v>
      </c>
      <c r="F51" s="220">
        <f>IF(OR(D51="",E51=""),"",ABS(D51-E51))</f>
        <v>0.6</v>
      </c>
      <c r="G51" s="667">
        <f>IF($A$46="","",F51/$A$46*1000)</f>
        <v>0.9375</v>
      </c>
      <c r="H51" s="222" t="str">
        <f>IF(G51="","",IF(G51&gt;1,"IKKE OK","OK"))</f>
        <v>OK</v>
      </c>
      <c r="I51" s="309">
        <v>0</v>
      </c>
      <c r="J51" s="309">
        <v>0.6</v>
      </c>
      <c r="K51" s="220">
        <f>IF(OR(I51="",J51=""),"",ABS(I51-J51))</f>
        <v>0.6</v>
      </c>
      <c r="L51" s="667">
        <f>IF($A$46="","",K51/$A$46*1000)</f>
        <v>0.9375</v>
      </c>
      <c r="M51" s="222" t="str">
        <f>IF(L51="","",IF(L51&gt;1,"IKKE OK","OK"))</f>
        <v>OK</v>
      </c>
      <c r="N51" s="670"/>
      <c r="O51" s="578"/>
      <c r="P51" s="145"/>
      <c r="Q51" s="165"/>
      <c r="R51" s="145"/>
      <c r="T51" s="145"/>
      <c r="U51" s="145"/>
      <c r="V51" s="126"/>
      <c r="W51" s="126"/>
    </row>
    <row r="52" spans="1:23" x14ac:dyDescent="0.25">
      <c r="A52" s="223">
        <v>2</v>
      </c>
      <c r="B52" s="224" t="s">
        <v>73</v>
      </c>
      <c r="C52" s="208"/>
      <c r="D52" s="317">
        <v>24.2</v>
      </c>
      <c r="E52" s="317">
        <v>24.5</v>
      </c>
      <c r="F52" s="223">
        <f t="shared" ref="F52:F54" si="0">IF(OR(D52="",E52=""),"",ABS(D52-E52))</f>
        <v>0.30000000000000071</v>
      </c>
      <c r="G52" s="673">
        <f t="shared" ref="G52:G54" si="1">IF($A$46="","",F52/$A$46*1000)</f>
        <v>0.46875000000000111</v>
      </c>
      <c r="H52" s="225" t="str">
        <f>IF(G52="","",IF(G52&gt;1,"IKKE OK","OK"))</f>
        <v>OK</v>
      </c>
      <c r="I52" s="317">
        <v>24.2</v>
      </c>
      <c r="J52" s="317">
        <v>24.5</v>
      </c>
      <c r="K52" s="223">
        <f t="shared" ref="K52:K54" si="2">IF(OR(I52="",J52=""),"",ABS(I52-J52))</f>
        <v>0.30000000000000071</v>
      </c>
      <c r="L52" s="673">
        <f t="shared" ref="L52:L54" si="3">IF($A$46="","",K52/$A$46*1000)</f>
        <v>0.46875000000000111</v>
      </c>
      <c r="M52" s="225" t="str">
        <f>IF(L52="","",IF(L52&gt;1,"IKKE OK","OK"))</f>
        <v>OK</v>
      </c>
      <c r="N52" s="670"/>
      <c r="O52" s="578"/>
      <c r="P52" s="145"/>
      <c r="Q52" s="165"/>
      <c r="R52" s="145"/>
      <c r="T52" s="145"/>
      <c r="U52" s="145"/>
      <c r="V52" s="126"/>
      <c r="W52" s="126"/>
    </row>
    <row r="53" spans="1:23" x14ac:dyDescent="0.25">
      <c r="A53" s="223">
        <v>3</v>
      </c>
      <c r="B53" s="224" t="s">
        <v>71</v>
      </c>
      <c r="C53" s="208"/>
      <c r="D53" s="317">
        <v>0</v>
      </c>
      <c r="E53" s="317">
        <v>0.1</v>
      </c>
      <c r="F53" s="223">
        <f t="shared" si="0"/>
        <v>0.1</v>
      </c>
      <c r="G53" s="673">
        <f t="shared" si="1"/>
        <v>0.15625</v>
      </c>
      <c r="H53" s="225" t="str">
        <f>IF(G53="","",IF(G53&gt;1,"IKKE OK","OK"))</f>
        <v>OK</v>
      </c>
      <c r="I53" s="317">
        <v>0</v>
      </c>
      <c r="J53" s="317">
        <v>0.1</v>
      </c>
      <c r="K53" s="223">
        <f t="shared" si="2"/>
        <v>0.1</v>
      </c>
      <c r="L53" s="673">
        <f t="shared" si="3"/>
        <v>0.15625</v>
      </c>
      <c r="M53" s="225" t="str">
        <f>IF(L53="","",IF(L53&gt;1,"IKKE OK","OK"))</f>
        <v>OK</v>
      </c>
      <c r="N53" s="670"/>
      <c r="O53" s="578"/>
      <c r="P53" s="145"/>
      <c r="Q53" s="165"/>
      <c r="R53" s="145"/>
      <c r="T53" s="145"/>
      <c r="U53" s="145"/>
      <c r="V53" s="126"/>
      <c r="W53" s="126"/>
    </row>
    <row r="54" spans="1:23" x14ac:dyDescent="0.25">
      <c r="A54" s="226">
        <v>4</v>
      </c>
      <c r="B54" s="227" t="s">
        <v>72</v>
      </c>
      <c r="C54" s="211"/>
      <c r="D54" s="325">
        <v>18.100000000000001</v>
      </c>
      <c r="E54" s="325">
        <v>17.899999999999999</v>
      </c>
      <c r="F54" s="226">
        <f t="shared" si="0"/>
        <v>0.20000000000000284</v>
      </c>
      <c r="G54" s="674">
        <f t="shared" si="1"/>
        <v>0.31250000000000444</v>
      </c>
      <c r="H54" s="228" t="str">
        <f>IF(G54="","",IF(G54&gt;1,"IKKE OK","OK"))</f>
        <v>OK</v>
      </c>
      <c r="I54" s="325">
        <v>18.100000000000001</v>
      </c>
      <c r="J54" s="325">
        <v>17.899999999999999</v>
      </c>
      <c r="K54" s="226">
        <f t="shared" si="2"/>
        <v>0.20000000000000284</v>
      </c>
      <c r="L54" s="674">
        <f t="shared" si="3"/>
        <v>0.31250000000000444</v>
      </c>
      <c r="M54" s="228" t="str">
        <f>IF(L54="","",IF(L54&gt;1,"IKKE OK","OK"))</f>
        <v>OK</v>
      </c>
      <c r="N54" s="670"/>
      <c r="O54" s="578"/>
      <c r="P54" s="145"/>
      <c r="Q54" s="165"/>
      <c r="R54" s="145"/>
      <c r="T54" s="145"/>
      <c r="U54" s="145"/>
      <c r="V54" s="126"/>
      <c r="W54" s="126"/>
    </row>
    <row r="55" spans="1:23" x14ac:dyDescent="0.25">
      <c r="A55" s="669"/>
      <c r="B55" s="677"/>
      <c r="C55" s="578"/>
      <c r="D55" s="676"/>
      <c r="E55" s="676"/>
      <c r="F55" s="669"/>
      <c r="G55" s="678"/>
      <c r="H55" s="671"/>
      <c r="I55" s="669"/>
      <c r="J55" s="670"/>
      <c r="K55" s="671"/>
      <c r="L55" s="669"/>
      <c r="M55" s="578"/>
      <c r="N55" s="670"/>
      <c r="O55" s="578"/>
      <c r="P55" s="145"/>
      <c r="Q55" s="165"/>
      <c r="R55" s="145"/>
      <c r="T55" s="145"/>
      <c r="U55" s="145"/>
      <c r="V55" s="126"/>
      <c r="W55" s="126"/>
    </row>
    <row r="58" spans="1:23" ht="18.75" x14ac:dyDescent="0.3">
      <c r="A58" s="116" t="s">
        <v>575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</row>
    <row r="59" spans="1:23" x14ac:dyDescent="0.25">
      <c r="T59" s="581"/>
    </row>
    <row r="60" spans="1:23" x14ac:dyDescent="0.25">
      <c r="A60" s="150" t="s">
        <v>439</v>
      </c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0" t="s">
        <v>421</v>
      </c>
      <c r="N60" s="151"/>
      <c r="O60" s="151"/>
      <c r="P60" s="151"/>
      <c r="Q60" s="151"/>
      <c r="R60" s="151"/>
      <c r="T60" s="581"/>
    </row>
    <row r="61" spans="1:23" x14ac:dyDescent="0.25">
      <c r="A61" s="141" t="s">
        <v>307</v>
      </c>
      <c r="B61" s="119" t="s">
        <v>65</v>
      </c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564"/>
      <c r="N61" s="565"/>
      <c r="O61" s="565"/>
      <c r="P61" s="565"/>
      <c r="Q61" s="565"/>
      <c r="R61" s="566"/>
    </row>
    <row r="62" spans="1:23" x14ac:dyDescent="0.25">
      <c r="A62" s="713" t="s">
        <v>560</v>
      </c>
      <c r="B62" s="713" t="s">
        <v>561</v>
      </c>
      <c r="C62" s="114"/>
      <c r="D62" s="120"/>
      <c r="E62" s="120"/>
      <c r="F62" s="120"/>
      <c r="G62" s="120"/>
      <c r="H62" s="120"/>
      <c r="I62" s="120"/>
      <c r="J62" s="120"/>
      <c r="K62" s="120"/>
      <c r="L62" s="120"/>
      <c r="M62" s="641"/>
      <c r="N62" s="642"/>
      <c r="O62" s="642"/>
      <c r="P62" s="642"/>
      <c r="Q62" s="642"/>
      <c r="R62" s="643"/>
    </row>
    <row r="63" spans="1:23" x14ac:dyDescent="0.25">
      <c r="A63" s="164" t="s">
        <v>308</v>
      </c>
      <c r="B63" s="120" t="s">
        <v>576</v>
      </c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561"/>
      <c r="N63" s="562"/>
      <c r="O63" s="562"/>
      <c r="P63" s="562"/>
      <c r="Q63" s="562"/>
      <c r="R63" s="563"/>
    </row>
    <row r="64" spans="1:23" x14ac:dyDescent="0.25">
      <c r="A64" s="164" t="s">
        <v>76</v>
      </c>
      <c r="B64" s="114" t="s">
        <v>646</v>
      </c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561"/>
      <c r="N64" s="562"/>
      <c r="O64" s="562"/>
      <c r="P64" s="562"/>
      <c r="Q64" s="562"/>
      <c r="R64" s="563"/>
    </row>
    <row r="65" spans="1:18" x14ac:dyDescent="0.25">
      <c r="A65" s="164"/>
      <c r="B65" s="114" t="s">
        <v>645</v>
      </c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652"/>
      <c r="N65" s="653"/>
      <c r="O65" s="653"/>
      <c r="P65" s="653"/>
      <c r="Q65" s="653"/>
      <c r="R65" s="654"/>
    </row>
    <row r="66" spans="1:18" x14ac:dyDescent="0.25">
      <c r="A66" s="164"/>
      <c r="B66" s="114" t="s">
        <v>599</v>
      </c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652"/>
      <c r="N66" s="653"/>
      <c r="O66" s="653"/>
      <c r="P66" s="653"/>
      <c r="Q66" s="653"/>
      <c r="R66" s="654"/>
    </row>
    <row r="67" spans="1:18" x14ac:dyDescent="0.25">
      <c r="A67" s="164"/>
      <c r="B67" s="114" t="s">
        <v>647</v>
      </c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652"/>
      <c r="N67" s="653"/>
      <c r="O67" s="653"/>
      <c r="P67" s="653"/>
      <c r="Q67" s="653"/>
      <c r="R67" s="654"/>
    </row>
    <row r="68" spans="1:18" ht="18" x14ac:dyDescent="0.35">
      <c r="A68" s="164"/>
      <c r="B68" s="114" t="s">
        <v>670</v>
      </c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652"/>
      <c r="N68" s="653"/>
      <c r="O68" s="653"/>
      <c r="P68" s="653"/>
      <c r="Q68" s="653"/>
      <c r="R68" s="654"/>
    </row>
    <row r="69" spans="1:18" x14ac:dyDescent="0.25">
      <c r="A69" s="164"/>
      <c r="B69" s="114" t="s">
        <v>669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731"/>
      <c r="N69" s="732"/>
      <c r="O69" s="732"/>
      <c r="P69" s="732"/>
      <c r="Q69" s="732"/>
      <c r="R69" s="733"/>
    </row>
    <row r="70" spans="1:18" ht="18" x14ac:dyDescent="0.35">
      <c r="A70" s="160" t="s">
        <v>100</v>
      </c>
      <c r="B70" s="175" t="s">
        <v>671</v>
      </c>
      <c r="C70" s="122"/>
      <c r="D70" s="122"/>
      <c r="E70" s="122"/>
      <c r="F70" s="122"/>
      <c r="G70" s="122"/>
      <c r="H70" s="122"/>
      <c r="I70" s="714"/>
      <c r="J70" s="122"/>
      <c r="K70" s="122"/>
      <c r="L70" s="122"/>
      <c r="M70" s="567"/>
      <c r="N70" s="568"/>
      <c r="O70" s="568"/>
      <c r="P70" s="568"/>
      <c r="Q70" s="568"/>
      <c r="R70" s="569"/>
    </row>
    <row r="71" spans="1:18" x14ac:dyDescent="0.25">
      <c r="A71" s="145"/>
      <c r="B71" s="168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</row>
    <row r="72" spans="1:18" x14ac:dyDescent="0.25">
      <c r="A72" s="150" t="s">
        <v>440</v>
      </c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</row>
    <row r="73" spans="1:18" x14ac:dyDescent="0.25">
      <c r="A73" s="145"/>
      <c r="B73" s="168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</row>
    <row r="74" spans="1:18" x14ac:dyDescent="0.25">
      <c r="A74" s="1" t="s">
        <v>171</v>
      </c>
      <c r="B74" s="170" t="s">
        <v>309</v>
      </c>
      <c r="C74" s="119"/>
      <c r="D74" s="119"/>
      <c r="E74" s="119"/>
      <c r="F74" s="143"/>
      <c r="G74" s="204"/>
      <c r="H74" s="205"/>
      <c r="I74" s="700"/>
      <c r="J74" s="119"/>
      <c r="K74" s="164"/>
      <c r="L74" s="120"/>
    </row>
    <row r="75" spans="1:18" x14ac:dyDescent="0.25">
      <c r="A75" s="9">
        <v>28</v>
      </c>
      <c r="B75" s="586" t="s">
        <v>531</v>
      </c>
      <c r="C75" s="145"/>
      <c r="D75" s="120"/>
      <c r="E75" s="120"/>
      <c r="F75" s="146"/>
      <c r="G75" s="164"/>
      <c r="H75" s="146"/>
      <c r="I75" s="120"/>
      <c r="J75" s="120"/>
      <c r="K75" s="164"/>
      <c r="L75" s="120"/>
    </row>
    <row r="76" spans="1:18" x14ac:dyDescent="0.25">
      <c r="A76" s="86">
        <v>50</v>
      </c>
      <c r="B76" s="597" t="s">
        <v>532</v>
      </c>
      <c r="C76" s="145"/>
      <c r="D76" s="120"/>
      <c r="E76" s="120"/>
      <c r="F76" s="146"/>
      <c r="G76" s="164"/>
      <c r="H76" s="146"/>
      <c r="I76" s="120"/>
      <c r="J76" s="120"/>
      <c r="K76" s="164"/>
      <c r="L76" s="120"/>
      <c r="M76" s="145"/>
      <c r="N76" s="145"/>
      <c r="O76" s="145"/>
      <c r="P76" s="145"/>
    </row>
    <row r="77" spans="1:18" x14ac:dyDescent="0.25">
      <c r="A77" s="86">
        <v>0.3</v>
      </c>
      <c r="B77" s="699" t="s">
        <v>596</v>
      </c>
      <c r="C77" s="145"/>
      <c r="D77" s="120"/>
      <c r="E77" s="120"/>
      <c r="F77" s="146"/>
      <c r="G77" s="796" t="s">
        <v>600</v>
      </c>
      <c r="H77" s="797"/>
      <c r="I77" s="796" t="s">
        <v>602</v>
      </c>
      <c r="J77" s="797"/>
      <c r="K77" s="164"/>
      <c r="L77" s="120"/>
      <c r="M77" s="145"/>
      <c r="N77" s="145"/>
      <c r="O77" s="145"/>
      <c r="P77" s="145"/>
    </row>
    <row r="78" spans="1:18" x14ac:dyDescent="0.25">
      <c r="A78" s="88" t="s">
        <v>436</v>
      </c>
      <c r="B78" s="172" t="s">
        <v>437</v>
      </c>
      <c r="C78" s="209"/>
      <c r="D78" s="122"/>
      <c r="E78" s="122"/>
      <c r="F78" s="148"/>
      <c r="G78" s="798" t="s">
        <v>601</v>
      </c>
      <c r="H78" s="799"/>
      <c r="I78" s="798" t="s">
        <v>601</v>
      </c>
      <c r="J78" s="799"/>
      <c r="K78" s="164"/>
      <c r="L78" s="120"/>
      <c r="M78" s="145"/>
      <c r="N78" s="145"/>
      <c r="O78" s="145"/>
      <c r="P78" s="145"/>
    </row>
    <row r="79" spans="1:18" x14ac:dyDescent="0.25">
      <c r="A79" s="195" t="s">
        <v>5</v>
      </c>
      <c r="B79" s="682"/>
      <c r="C79" s="685"/>
      <c r="D79" s="685"/>
      <c r="E79" s="685"/>
      <c r="F79" s="194"/>
      <c r="G79" s="154" t="s">
        <v>69</v>
      </c>
      <c r="H79" s="154" t="s">
        <v>0</v>
      </c>
      <c r="I79" s="289" t="s">
        <v>603</v>
      </c>
      <c r="J79" s="152" t="s">
        <v>0</v>
      </c>
      <c r="P79" s="43"/>
      <c r="Q79" s="43"/>
      <c r="R79" s="43"/>
    </row>
    <row r="80" spans="1:18" x14ac:dyDescent="0.25">
      <c r="A80" s="195"/>
      <c r="B80" s="196"/>
      <c r="C80" s="139"/>
      <c r="D80" s="139"/>
      <c r="E80" s="139"/>
      <c r="F80" s="197"/>
      <c r="G80" s="154" t="s">
        <v>75</v>
      </c>
      <c r="H80" s="154"/>
      <c r="I80" s="291" t="s">
        <v>604</v>
      </c>
      <c r="J80" s="154"/>
      <c r="P80" s="43"/>
      <c r="Q80" s="43"/>
      <c r="R80" s="43"/>
    </row>
    <row r="81" spans="1:18" x14ac:dyDescent="0.25">
      <c r="A81" s="198"/>
      <c r="B81" s="199"/>
      <c r="C81" s="151"/>
      <c r="D81" s="151"/>
      <c r="E81" s="151"/>
      <c r="F81" s="200"/>
      <c r="G81" s="156" t="s">
        <v>404</v>
      </c>
      <c r="H81" s="157" t="s">
        <v>577</v>
      </c>
      <c r="I81" s="186" t="s">
        <v>106</v>
      </c>
      <c r="J81" s="157"/>
      <c r="P81" s="43"/>
      <c r="Q81" s="43"/>
      <c r="R81" s="43"/>
    </row>
    <row r="82" spans="1:18" x14ac:dyDescent="0.25">
      <c r="A82" s="18">
        <v>1</v>
      </c>
      <c r="B82" s="182" t="s">
        <v>578</v>
      </c>
      <c r="C82" s="143"/>
      <c r="D82" s="119"/>
      <c r="E82" s="119"/>
      <c r="F82" s="143"/>
      <c r="G82" s="3">
        <v>2</v>
      </c>
      <c r="H82" s="492" t="str">
        <f>IF(OR(G82="",$G$27=""),"",IF(G82&gt;5,"IKKE OK","OK"))</f>
        <v>OK</v>
      </c>
      <c r="I82" s="684"/>
      <c r="J82" s="683" t="str">
        <f>IF(OR(I82="",$G$27=""),"",IF(I82&gt;5,"IKKE OK","OK"))</f>
        <v/>
      </c>
      <c r="P82" s="45"/>
      <c r="Q82" s="47"/>
      <c r="R82" s="618"/>
    </row>
    <row r="83" spans="1:18" x14ac:dyDescent="0.25">
      <c r="A83" s="121">
        <v>2</v>
      </c>
      <c r="B83" s="183" t="s">
        <v>579</v>
      </c>
      <c r="C83" s="148"/>
      <c r="D83" s="122"/>
      <c r="E83" s="122"/>
      <c r="F83" s="148"/>
      <c r="G83" s="680"/>
      <c r="H83" s="681"/>
      <c r="I83" s="679" t="s">
        <v>159</v>
      </c>
      <c r="J83" s="27" t="str">
        <f>IF(I83="","",IF(I83="nej","OK","IKKE OK"))</f>
        <v>OK</v>
      </c>
      <c r="P83" s="43"/>
      <c r="Q83" s="43"/>
      <c r="R83" s="43"/>
    </row>
    <row r="84" spans="1:18" x14ac:dyDescent="0.25">
      <c r="P84" s="145"/>
      <c r="Q84" s="145"/>
      <c r="R84" s="145"/>
    </row>
    <row r="88" spans="1:18" x14ac:dyDescent="0.25">
      <c r="A88" s="150" t="s">
        <v>362</v>
      </c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</row>
    <row r="89" spans="1:18" x14ac:dyDescent="0.25">
      <c r="A89" s="508"/>
      <c r="B89" s="509"/>
      <c r="C89" s="509"/>
      <c r="D89" s="509"/>
      <c r="E89" s="509"/>
      <c r="F89" s="509"/>
      <c r="G89" s="509"/>
      <c r="H89" s="509"/>
      <c r="I89" s="509"/>
      <c r="J89" s="509"/>
      <c r="K89" s="509"/>
      <c r="L89" s="509"/>
      <c r="M89" s="509"/>
      <c r="N89" s="509"/>
      <c r="O89" s="509"/>
      <c r="P89" s="509"/>
      <c r="Q89" s="509"/>
      <c r="R89" s="510"/>
    </row>
    <row r="90" spans="1:18" x14ac:dyDescent="0.25">
      <c r="A90" s="511"/>
      <c r="B90" s="512"/>
      <c r="C90" s="512"/>
      <c r="D90" s="512"/>
      <c r="E90" s="512"/>
      <c r="F90" s="512"/>
      <c r="G90" s="512"/>
      <c r="H90" s="512"/>
      <c r="I90" s="512"/>
      <c r="J90" s="512"/>
      <c r="K90" s="512"/>
      <c r="L90" s="512"/>
      <c r="M90" s="512"/>
      <c r="N90" s="512"/>
      <c r="O90" s="512"/>
      <c r="P90" s="512"/>
      <c r="Q90" s="512"/>
      <c r="R90" s="513"/>
    </row>
    <row r="91" spans="1:18" x14ac:dyDescent="0.25">
      <c r="A91" s="511"/>
      <c r="B91" s="512"/>
      <c r="C91" s="512"/>
      <c r="D91" s="512"/>
      <c r="E91" s="512"/>
      <c r="F91" s="512"/>
      <c r="G91" s="512"/>
      <c r="H91" s="512"/>
      <c r="I91" s="512"/>
      <c r="J91" s="512"/>
      <c r="K91" s="512"/>
      <c r="L91" s="512"/>
      <c r="M91" s="512"/>
      <c r="N91" s="512"/>
      <c r="O91" s="512"/>
      <c r="P91" s="512"/>
      <c r="Q91" s="512"/>
      <c r="R91" s="513"/>
    </row>
    <row r="92" spans="1:18" x14ac:dyDescent="0.25">
      <c r="A92" s="511"/>
      <c r="B92" s="512"/>
      <c r="C92" s="512"/>
      <c r="D92" s="512"/>
      <c r="E92" s="512"/>
      <c r="F92" s="512"/>
      <c r="G92" s="512"/>
      <c r="H92" s="512"/>
      <c r="I92" s="512"/>
      <c r="J92" s="512"/>
      <c r="K92" s="512"/>
      <c r="L92" s="512"/>
      <c r="M92" s="512"/>
      <c r="N92" s="512"/>
      <c r="O92" s="512"/>
      <c r="P92" s="512"/>
      <c r="Q92" s="512"/>
      <c r="R92" s="513"/>
    </row>
    <row r="93" spans="1:18" x14ac:dyDescent="0.25">
      <c r="A93" s="514"/>
      <c r="B93" s="515"/>
      <c r="C93" s="515"/>
      <c r="D93" s="515"/>
      <c r="E93" s="515"/>
      <c r="F93" s="515"/>
      <c r="G93" s="515"/>
      <c r="H93" s="515"/>
      <c r="I93" s="515"/>
      <c r="J93" s="515"/>
      <c r="K93" s="515"/>
      <c r="L93" s="515"/>
      <c r="M93" s="515"/>
      <c r="N93" s="515"/>
      <c r="O93" s="515"/>
      <c r="P93" s="515"/>
      <c r="Q93" s="515"/>
      <c r="R93" s="516"/>
    </row>
  </sheetData>
  <mergeCells count="6">
    <mergeCell ref="D47:H47"/>
    <mergeCell ref="I47:M47"/>
    <mergeCell ref="G77:H77"/>
    <mergeCell ref="G78:H78"/>
    <mergeCell ref="I77:J77"/>
    <mergeCell ref="I78:J78"/>
  </mergeCells>
  <conditionalFormatting sqref="H27">
    <cfRule type="cellIs" dxfId="72" priority="13" operator="equal">
      <formula>"OK"</formula>
    </cfRule>
    <cfRule type="cellIs" dxfId="71" priority="14" operator="equal">
      <formula>"IKKE OK"</formula>
    </cfRule>
  </conditionalFormatting>
  <conditionalFormatting sqref="R82">
    <cfRule type="cellIs" dxfId="70" priority="11" operator="equal">
      <formula>"OK"</formula>
    </cfRule>
    <cfRule type="cellIs" dxfId="69" priority="12" operator="equal">
      <formula>"IKKE OK"</formula>
    </cfRule>
  </conditionalFormatting>
  <conditionalFormatting sqref="H51:H55">
    <cfRule type="cellIs" dxfId="68" priority="9" operator="equal">
      <formula>"IKKE OK"</formula>
    </cfRule>
    <cfRule type="cellIs" dxfId="67" priority="10" operator="equal">
      <formula>"OK"</formula>
    </cfRule>
  </conditionalFormatting>
  <conditionalFormatting sqref="H82">
    <cfRule type="cellIs" dxfId="66" priority="7" operator="equal">
      <formula>"OK"</formula>
    </cfRule>
    <cfRule type="cellIs" dxfId="65" priority="8" operator="equal">
      <formula>"IKKE OK"</formula>
    </cfRule>
  </conditionalFormatting>
  <conditionalFormatting sqref="J82">
    <cfRule type="cellIs" dxfId="64" priority="5" operator="equal">
      <formula>"OK"</formula>
    </cfRule>
    <cfRule type="cellIs" dxfId="63" priority="6" operator="equal">
      <formula>"IKKE OK"</formula>
    </cfRule>
  </conditionalFormatting>
  <conditionalFormatting sqref="J83">
    <cfRule type="cellIs" dxfId="62" priority="3" operator="equal">
      <formula>"IKKE OK"</formula>
    </cfRule>
    <cfRule type="cellIs" dxfId="61" priority="4" operator="equal">
      <formula>"OK"</formula>
    </cfRule>
  </conditionalFormatting>
  <conditionalFormatting sqref="M51:M54">
    <cfRule type="cellIs" dxfId="60" priority="1" operator="equal">
      <formula>"IKKE OK"</formula>
    </cfRule>
    <cfRule type="cellIs" dxfId="59" priority="2" operator="equal">
      <formula>"OK"</formula>
    </cfRule>
  </conditionalFormatting>
  <pageMargins left="0.57999999999999996" right="0.21" top="0.51181102362204722" bottom="0.47244094488188981" header="0.31496062992125984" footer="0.31496062992125984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Data!$D$76:$D$89</xm:f>
          </x14:formula1>
          <xm:sqref>A21 A43 A75</xm:sqref>
        </x14:dataValidation>
        <x14:dataValidation type="list" allowBlank="1" showInputMessage="1" showErrorMessage="1">
          <x14:formula1>
            <xm:f>Data!$A$76:$A$83</xm:f>
          </x14:formula1>
          <xm:sqref>A20 A42 A74</xm:sqref>
        </x14:dataValidation>
        <x14:dataValidation type="list" allowBlank="1" showInputMessage="1" showErrorMessage="1">
          <x14:formula1>
            <xm:f>Data!$G$76:$G$78</xm:f>
          </x14:formula1>
          <xm:sqref>N51:N55</xm:sqref>
        </x14:dataValidation>
        <x14:dataValidation type="list" allowBlank="1" showInputMessage="1" showErrorMessage="1">
          <x14:formula1>
            <xm:f>Data!$G$76:$G$77</xm:f>
          </x14:formula1>
          <xm:sqref>I83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9"/>
  <sheetViews>
    <sheetView tabSelected="1" topLeftCell="A113" zoomScaleNormal="100" workbookViewId="0">
      <selection activeCell="N148" sqref="N148"/>
    </sheetView>
  </sheetViews>
  <sheetFormatPr defaultColWidth="9.140625" defaultRowHeight="15" x14ac:dyDescent="0.25"/>
  <cols>
    <col min="1" max="1" width="11.42578125" style="94" customWidth="1"/>
    <col min="2" max="6" width="9.140625" style="94"/>
    <col min="7" max="7" width="9.7109375" style="94" customWidth="1"/>
    <col min="8" max="10" width="9.140625" style="94"/>
    <col min="11" max="11" width="10.5703125" style="94" customWidth="1"/>
    <col min="12" max="16384" width="9.140625" style="94"/>
  </cols>
  <sheetData>
    <row r="1" spans="1:18" x14ac:dyDescent="0.25">
      <c r="A1" s="89" t="s">
        <v>280</v>
      </c>
      <c r="B1" s="90"/>
      <c r="C1" s="90"/>
      <c r="D1" s="91" t="str">
        <f>IF(Oplysningsside!B9="","",Oplysningsside!B9)</f>
        <v>Region H</v>
      </c>
      <c r="E1" s="90"/>
      <c r="F1" s="90"/>
      <c r="G1" s="92" t="s">
        <v>281</v>
      </c>
      <c r="H1" s="90"/>
      <c r="I1" s="91" t="str">
        <f>IF(Oplysningsside!B23="","",Oplysningsside!B23)</f>
        <v>Modtagekontrol</v>
      </c>
      <c r="J1" s="90"/>
      <c r="K1" s="90"/>
      <c r="L1" s="90"/>
      <c r="M1" s="92" t="s">
        <v>282</v>
      </c>
      <c r="N1" s="90"/>
      <c r="O1" s="91" t="str">
        <f>IF(Oplysningsside!B22="","",Oplysningsside!B22)</f>
        <v>Siemens</v>
      </c>
      <c r="P1" s="90"/>
      <c r="Q1" s="90"/>
      <c r="R1" s="93"/>
    </row>
    <row r="2" spans="1:18" x14ac:dyDescent="0.25">
      <c r="A2" s="95" t="s">
        <v>283</v>
      </c>
      <c r="B2" s="96"/>
      <c r="C2" s="96"/>
      <c r="D2" s="97" t="str">
        <f>IF(Oplysningsside!B10="","",Oplysningsside!B10)</f>
        <v>HGH Gentofte</v>
      </c>
      <c r="E2" s="96"/>
      <c r="F2" s="96"/>
      <c r="G2" s="98" t="s">
        <v>284</v>
      </c>
      <c r="H2" s="96"/>
      <c r="I2" s="97" t="str">
        <f>IF(Oplysningsside!B15="","",Oplysningsside!B15)</f>
        <v>Revelation</v>
      </c>
      <c r="J2" s="96"/>
      <c r="K2" s="96"/>
      <c r="L2" s="96"/>
      <c r="M2" s="98" t="s">
        <v>285</v>
      </c>
      <c r="N2" s="96"/>
      <c r="O2" s="97" t="str">
        <f>IF(Oplysningsside!B24="","",Oplysningsside!B24)</f>
        <v>01.01.2022</v>
      </c>
      <c r="P2" s="96"/>
      <c r="Q2" s="96"/>
      <c r="R2" s="99"/>
    </row>
    <row r="3" spans="1:18" x14ac:dyDescent="0.25">
      <c r="A3" s="100" t="s">
        <v>286</v>
      </c>
      <c r="B3" s="96"/>
      <c r="C3" s="96"/>
      <c r="D3" s="97" t="str">
        <f>IF(Oplysningsside!B11="","",Oplysningsside!B11)</f>
        <v>Gentofte Screening</v>
      </c>
      <c r="E3" s="96"/>
      <c r="F3" s="96"/>
      <c r="G3" s="98" t="s">
        <v>287</v>
      </c>
      <c r="H3" s="96"/>
      <c r="I3" s="101">
        <f>IF(Oplysningsside!B16="","",Oplysningsside!B16)</f>
        <v>1234</v>
      </c>
      <c r="J3" s="96"/>
      <c r="K3" s="96"/>
      <c r="L3" s="96"/>
      <c r="M3" s="98" t="s">
        <v>288</v>
      </c>
      <c r="N3" s="96"/>
      <c r="O3" s="97" t="str">
        <f>IF(Oplysningsside!B26="","",Oplysningsside!B26)</f>
        <v>EA</v>
      </c>
      <c r="P3" s="96"/>
      <c r="Q3" s="96"/>
      <c r="R3" s="99"/>
    </row>
    <row r="4" spans="1:18" x14ac:dyDescent="0.25">
      <c r="A4" s="95" t="s">
        <v>289</v>
      </c>
      <c r="B4" s="96"/>
      <c r="C4" s="96"/>
      <c r="D4" s="97" t="str">
        <f>IF(Oplysningsside!B12="","",Oplysningsside!B12)</f>
        <v>MAM 1</v>
      </c>
      <c r="E4" s="96"/>
      <c r="F4" s="96"/>
      <c r="G4" s="98" t="s">
        <v>290</v>
      </c>
      <c r="H4" s="96"/>
      <c r="I4" s="101">
        <f>IF(Oplysningsside!B17="","",Oplysningsside!B17)</f>
        <v>1234</v>
      </c>
      <c r="J4" s="96"/>
      <c r="K4" s="96"/>
      <c r="L4" s="96"/>
      <c r="M4" s="96" t="s">
        <v>291</v>
      </c>
      <c r="N4" s="96"/>
      <c r="O4" s="97" t="str">
        <f>IF(Oplysningsside!B25="","",Oplysningsside!B25)</f>
        <v>01.01.2022</v>
      </c>
      <c r="P4" s="96"/>
      <c r="Q4" s="96"/>
      <c r="R4" s="99"/>
    </row>
    <row r="5" spans="1:18" x14ac:dyDescent="0.25">
      <c r="A5" s="102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4"/>
    </row>
    <row r="7" spans="1:18" ht="26.25" x14ac:dyDescent="0.4">
      <c r="A7" s="133" t="s">
        <v>710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6" t="str">
        <f>IF(Oplysningsside!$B$23="","",Oplysningsside!$B$23)</f>
        <v>Modtagekontrol</v>
      </c>
      <c r="O7" s="134"/>
      <c r="P7" s="135"/>
      <c r="Q7" s="135"/>
      <c r="R7" s="136" t="str">
        <f>IF(Oplysningsside!$B$24="","",Oplysningsside!$B$24)</f>
        <v>01.01.2022</v>
      </c>
    </row>
    <row r="8" spans="1:18" x14ac:dyDescent="0.25">
      <c r="F8" s="127"/>
    </row>
    <row r="9" spans="1:18" ht="18.75" x14ac:dyDescent="0.3">
      <c r="A9" s="116" t="s">
        <v>363</v>
      </c>
      <c r="B9" s="117"/>
      <c r="C9" s="117"/>
      <c r="D9" s="117"/>
      <c r="E9" s="117"/>
      <c r="F9" s="117"/>
      <c r="G9" s="117"/>
      <c r="H9" s="117"/>
      <c r="I9" s="117"/>
      <c r="J9" s="137"/>
      <c r="K9" s="137"/>
      <c r="L9" s="137"/>
      <c r="M9" s="137"/>
      <c r="N9" s="137"/>
      <c r="O9" s="137"/>
      <c r="P9" s="137"/>
      <c r="Q9" s="137"/>
      <c r="R9" s="137"/>
    </row>
    <row r="11" spans="1:18" x14ac:dyDescent="0.25">
      <c r="A11" s="150" t="s">
        <v>444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0" t="s">
        <v>421</v>
      </c>
      <c r="N11" s="151"/>
      <c r="O11" s="151"/>
      <c r="P11" s="151"/>
      <c r="Q11" s="151"/>
      <c r="R11" s="151"/>
    </row>
    <row r="12" spans="1:18" x14ac:dyDescent="0.25">
      <c r="A12" s="141" t="s">
        <v>307</v>
      </c>
      <c r="B12" s="119" t="s">
        <v>162</v>
      </c>
      <c r="C12" s="119"/>
      <c r="D12" s="230" t="s">
        <v>364</v>
      </c>
      <c r="E12" s="119"/>
      <c r="F12" s="119"/>
      <c r="G12" s="119"/>
      <c r="H12" s="119"/>
      <c r="I12" s="119"/>
      <c r="J12" s="119"/>
      <c r="K12" s="119"/>
      <c r="L12" s="143"/>
      <c r="M12" s="655"/>
      <c r="N12" s="656"/>
      <c r="O12" s="656"/>
      <c r="P12" s="656"/>
      <c r="Q12" s="656"/>
      <c r="R12" s="657"/>
    </row>
    <row r="13" spans="1:18" x14ac:dyDescent="0.25">
      <c r="A13" s="715" t="s">
        <v>560</v>
      </c>
      <c r="B13" s="715" t="s">
        <v>561</v>
      </c>
      <c r="C13" s="269"/>
      <c r="D13" s="706"/>
      <c r="E13" s="120"/>
      <c r="F13" s="120"/>
      <c r="G13" s="120"/>
      <c r="H13" s="120"/>
      <c r="I13" s="120"/>
      <c r="J13" s="120"/>
      <c r="K13" s="120"/>
      <c r="L13" s="146"/>
      <c r="M13" s="652"/>
      <c r="N13" s="653"/>
      <c r="O13" s="653"/>
      <c r="P13" s="653"/>
      <c r="Q13" s="653"/>
      <c r="R13" s="654"/>
    </row>
    <row r="14" spans="1:18" x14ac:dyDescent="0.25">
      <c r="A14" s="164" t="s">
        <v>308</v>
      </c>
      <c r="B14" s="120" t="s">
        <v>77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46"/>
      <c r="M14" s="652"/>
      <c r="N14" s="653"/>
      <c r="O14" s="653"/>
      <c r="P14" s="653"/>
      <c r="Q14" s="653"/>
      <c r="R14" s="654"/>
    </row>
    <row r="15" spans="1:18" x14ac:dyDescent="0.25">
      <c r="A15" s="164" t="s">
        <v>76</v>
      </c>
      <c r="B15" s="716" t="s">
        <v>651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46"/>
      <c r="M15" s="652"/>
      <c r="N15" s="653"/>
      <c r="O15" s="653"/>
      <c r="P15" s="653"/>
      <c r="Q15" s="653"/>
      <c r="R15" s="654"/>
    </row>
    <row r="16" spans="1:18" x14ac:dyDescent="0.25">
      <c r="A16" s="164"/>
      <c r="B16" s="120" t="s">
        <v>252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46"/>
      <c r="M16" s="652"/>
      <c r="N16" s="653"/>
      <c r="O16" s="653"/>
      <c r="P16" s="653"/>
      <c r="Q16" s="653"/>
      <c r="R16" s="654"/>
    </row>
    <row r="17" spans="1:20" x14ac:dyDescent="0.25">
      <c r="A17" s="164"/>
      <c r="B17" s="120" t="s">
        <v>441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46"/>
      <c r="M17" s="652"/>
      <c r="N17" s="653"/>
      <c r="O17" s="653"/>
      <c r="P17" s="653"/>
      <c r="Q17" s="653"/>
      <c r="R17" s="654"/>
    </row>
    <row r="18" spans="1:20" x14ac:dyDescent="0.25">
      <c r="A18" s="164"/>
      <c r="B18" s="120" t="s">
        <v>442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46"/>
      <c r="M18" s="652"/>
      <c r="N18" s="653"/>
      <c r="O18" s="653"/>
      <c r="P18" s="653"/>
      <c r="Q18" s="653"/>
      <c r="R18" s="654"/>
    </row>
    <row r="19" spans="1:20" x14ac:dyDescent="0.25">
      <c r="A19" s="164"/>
      <c r="B19" s="269" t="s">
        <v>605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46"/>
      <c r="M19" s="652"/>
      <c r="N19" s="653"/>
      <c r="O19" s="653"/>
      <c r="P19" s="653"/>
      <c r="Q19" s="653"/>
      <c r="R19" s="654"/>
      <c r="T19" s="581"/>
    </row>
    <row r="20" spans="1:20" x14ac:dyDescent="0.25">
      <c r="A20" s="164"/>
      <c r="B20" s="120" t="s">
        <v>443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46"/>
      <c r="M20" s="652"/>
      <c r="N20" s="653"/>
      <c r="O20" s="653"/>
      <c r="P20" s="653"/>
      <c r="Q20" s="653"/>
      <c r="R20" s="654"/>
    </row>
    <row r="21" spans="1:20" x14ac:dyDescent="0.25">
      <c r="A21" s="164"/>
      <c r="B21" s="120" t="s">
        <v>516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46"/>
      <c r="M21" s="652"/>
      <c r="N21" s="653"/>
      <c r="O21" s="653"/>
      <c r="P21" s="653"/>
      <c r="Q21" s="653"/>
      <c r="R21" s="654"/>
    </row>
    <row r="22" spans="1:20" x14ac:dyDescent="0.25">
      <c r="A22" s="164"/>
      <c r="B22" s="120" t="s">
        <v>517</v>
      </c>
      <c r="C22" s="120"/>
      <c r="D22" s="120"/>
      <c r="E22" s="120"/>
      <c r="F22" s="120"/>
      <c r="G22" s="120"/>
      <c r="H22" s="120"/>
      <c r="I22" s="120"/>
      <c r="J22" s="120"/>
      <c r="K22" s="120"/>
      <c r="L22" s="146"/>
      <c r="M22" s="652"/>
      <c r="N22" s="653"/>
      <c r="O22" s="653"/>
      <c r="P22" s="653"/>
      <c r="Q22" s="653"/>
      <c r="R22" s="654"/>
    </row>
    <row r="23" spans="1:20" x14ac:dyDescent="0.25">
      <c r="A23" s="164"/>
      <c r="B23" s="717" t="s">
        <v>652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46"/>
      <c r="M23" s="652"/>
      <c r="N23" s="653"/>
      <c r="O23" s="653"/>
      <c r="P23" s="653"/>
      <c r="Q23" s="653"/>
      <c r="R23" s="654"/>
    </row>
    <row r="24" spans="1:20" x14ac:dyDescent="0.25">
      <c r="A24" s="164"/>
      <c r="B24" s="120" t="s">
        <v>519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46"/>
      <c r="M24" s="571"/>
      <c r="N24" s="572"/>
      <c r="O24" s="572"/>
      <c r="P24" s="572"/>
      <c r="Q24" s="572"/>
      <c r="R24" s="573"/>
    </row>
    <row r="25" spans="1:20" x14ac:dyDescent="0.25">
      <c r="A25" s="164"/>
      <c r="B25" s="120" t="s">
        <v>520</v>
      </c>
      <c r="C25" s="120"/>
      <c r="D25" s="120"/>
      <c r="E25" s="120"/>
      <c r="F25" s="120"/>
      <c r="G25" s="120"/>
      <c r="H25" s="120"/>
      <c r="I25" s="120"/>
      <c r="J25" s="120"/>
      <c r="K25" s="120"/>
      <c r="L25" s="146"/>
      <c r="M25" s="571"/>
      <c r="N25" s="572"/>
      <c r="O25" s="572"/>
      <c r="P25" s="572"/>
      <c r="Q25" s="572"/>
      <c r="R25" s="573"/>
    </row>
    <row r="26" spans="1:20" x14ac:dyDescent="0.25">
      <c r="A26" s="164"/>
      <c r="B26" s="120" t="s">
        <v>518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46"/>
      <c r="M26" s="571"/>
      <c r="N26" s="572"/>
      <c r="O26" s="572"/>
      <c r="P26" s="572"/>
      <c r="Q26" s="572"/>
      <c r="R26" s="573"/>
    </row>
    <row r="27" spans="1:20" x14ac:dyDescent="0.25">
      <c r="A27" s="159" t="s">
        <v>100</v>
      </c>
      <c r="B27" s="120" t="s">
        <v>695</v>
      </c>
      <c r="C27" s="287"/>
      <c r="D27" s="287"/>
      <c r="E27" s="287"/>
      <c r="F27" s="287"/>
      <c r="G27" s="120"/>
      <c r="H27" s="120"/>
      <c r="I27" s="120"/>
      <c r="J27" s="120"/>
      <c r="K27" s="120"/>
      <c r="L27" s="146"/>
      <c r="M27" s="571"/>
      <c r="N27" s="572"/>
      <c r="O27" s="572"/>
      <c r="P27" s="572"/>
      <c r="Q27" s="572"/>
      <c r="R27" s="573"/>
      <c r="T27" s="581"/>
    </row>
    <row r="28" spans="1:20" ht="17.25" x14ac:dyDescent="0.25">
      <c r="A28" s="159"/>
      <c r="B28" s="120" t="s">
        <v>694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46"/>
      <c r="M28" s="571"/>
      <c r="N28" s="572"/>
      <c r="O28" s="572"/>
      <c r="P28" s="572"/>
      <c r="Q28" s="572"/>
      <c r="R28" s="573"/>
      <c r="T28" s="581"/>
    </row>
    <row r="29" spans="1:20" x14ac:dyDescent="0.25">
      <c r="A29" s="160"/>
      <c r="B29" s="718"/>
      <c r="C29" s="122"/>
      <c r="D29" s="122"/>
      <c r="E29" s="122"/>
      <c r="F29" s="122"/>
      <c r="G29" s="122"/>
      <c r="H29" s="122"/>
      <c r="I29" s="122"/>
      <c r="J29" s="122"/>
      <c r="K29" s="122"/>
      <c r="L29" s="148"/>
      <c r="M29" s="574"/>
      <c r="N29" s="543"/>
      <c r="O29" s="543"/>
      <c r="P29" s="543"/>
      <c r="Q29" s="543"/>
      <c r="R29" s="575"/>
      <c r="T29" s="581"/>
    </row>
    <row r="30" spans="1:20" x14ac:dyDescent="0.25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</row>
    <row r="31" spans="1:20" x14ac:dyDescent="0.25">
      <c r="A31" s="150" t="s">
        <v>447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T31" s="126"/>
    </row>
    <row r="32" spans="1:20" x14ac:dyDescent="0.25">
      <c r="T32" s="126"/>
    </row>
    <row r="33" spans="1:22" x14ac:dyDescent="0.25">
      <c r="A33" s="719" t="s">
        <v>653</v>
      </c>
      <c r="B33" s="134"/>
      <c r="C33" s="231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T33" s="126"/>
    </row>
    <row r="34" spans="1:22" x14ac:dyDescent="0.25">
      <c r="A34" s="145"/>
      <c r="C34" s="169"/>
      <c r="T34" s="126"/>
    </row>
    <row r="35" spans="1:22" ht="17.25" x14ac:dyDescent="0.25">
      <c r="A35" s="1" t="s">
        <v>171</v>
      </c>
      <c r="B35" s="203" t="s">
        <v>20</v>
      </c>
      <c r="C35" s="537"/>
      <c r="D35" s="119"/>
      <c r="E35" s="143"/>
      <c r="F35" s="203" t="s">
        <v>327</v>
      </c>
      <c r="G35" s="203"/>
      <c r="H35" s="203"/>
      <c r="I35" s="203"/>
      <c r="J35" s="204" t="s">
        <v>367</v>
      </c>
      <c r="K35" s="203"/>
      <c r="L35" s="203"/>
      <c r="M35" s="203"/>
      <c r="N35" s="164"/>
      <c r="T35" s="126"/>
    </row>
    <row r="36" spans="1:22" ht="17.25" x14ac:dyDescent="0.25">
      <c r="A36" s="9">
        <v>28</v>
      </c>
      <c r="B36" s="586" t="s">
        <v>406</v>
      </c>
      <c r="C36" s="120"/>
      <c r="D36" s="120"/>
      <c r="E36" s="534"/>
      <c r="F36" s="548">
        <f>IF(OR(B43="",C43="",C44="",E43="",$A$35=""),"",SLOPE(C43:C48,E43:E48))</f>
        <v>103.2974164007006</v>
      </c>
      <c r="G36" s="206" t="s">
        <v>365</v>
      </c>
      <c r="H36" s="206"/>
      <c r="I36" s="206"/>
      <c r="J36" s="232">
        <f>IF(OR(B43="",D43="",D44="",E43="",$A$35=""),"",SLOPE(J43:J48,E43:E48))</f>
        <v>9.0758902773117729</v>
      </c>
      <c r="K36" s="206" t="s">
        <v>369</v>
      </c>
      <c r="L36" s="206"/>
      <c r="M36" s="206"/>
      <c r="N36" s="164"/>
      <c r="T36" s="126"/>
    </row>
    <row r="37" spans="1:22" ht="17.25" x14ac:dyDescent="0.25">
      <c r="A37" s="86">
        <v>45</v>
      </c>
      <c r="B37" s="600" t="s">
        <v>446</v>
      </c>
      <c r="C37" s="120"/>
      <c r="D37" s="120"/>
      <c r="E37" s="546"/>
      <c r="F37" s="548">
        <f>IF(OR(B43="",C43="",C44="",E43="",$A$35=""),"",INTERCEPT(C43:C48,E43:E48))</f>
        <v>49.054791945820455</v>
      </c>
      <c r="G37" s="206" t="s">
        <v>366</v>
      </c>
      <c r="H37" s="206"/>
      <c r="I37" s="206"/>
      <c r="J37" s="232">
        <f>IF(OR(B43="",D43="",D44="",E43="",$A$35=""),"",INTERCEPT(J43:J48,E43:E48))</f>
        <v>0.28867691729368872</v>
      </c>
      <c r="K37" s="206" t="s">
        <v>368</v>
      </c>
      <c r="L37" s="206"/>
      <c r="M37" s="206"/>
      <c r="N37" s="164"/>
      <c r="O37" s="581"/>
    </row>
    <row r="38" spans="1:22" ht="17.25" x14ac:dyDescent="0.25">
      <c r="A38" s="603">
        <f>IF('2. Røntgenrør m.m.'!A107="","",'2. Røntgenrør m.m.'!A107)</f>
        <v>620</v>
      </c>
      <c r="B38" s="599" t="s">
        <v>449</v>
      </c>
      <c r="E38" s="547"/>
      <c r="F38" s="549">
        <f>IF(OR(B43="",C43="",C44="",E43="",$A$35=""),"",RSQ(C43:C48,E43:E48))</f>
        <v>0.99998671246149129</v>
      </c>
      <c r="G38" s="206" t="s">
        <v>373</v>
      </c>
      <c r="H38" s="206"/>
      <c r="I38" s="206"/>
      <c r="J38" s="233">
        <f>IF(OR(B43="",D43="",D44="",E43="",$A$35=""),"",RSQ(J43:J48,E43:E48))</f>
        <v>0.99947121496832625</v>
      </c>
      <c r="K38" s="206" t="s">
        <v>374</v>
      </c>
      <c r="L38" s="206"/>
      <c r="M38" s="206"/>
      <c r="N38" s="164"/>
      <c r="O38" s="598"/>
      <c r="P38" s="126"/>
      <c r="Q38" s="126"/>
      <c r="S38" s="126"/>
      <c r="T38" s="126"/>
      <c r="U38" s="126"/>
      <c r="V38" s="126"/>
    </row>
    <row r="39" spans="1:22" x14ac:dyDescent="0.25">
      <c r="A39" s="602">
        <f>IFERROR(IF(OR(A35="",A36=""),"",INDEX(Data!C96:E107,VLOOKUP('4. DR-detektor'!A36,Data!A96:B107,2,FALSE),HLOOKUP('4. DR-detektor'!A35,Data!C94:E95,2,FALSE))),"")</f>
        <v>2.7619999999999999E-2</v>
      </c>
      <c r="B39" s="601" t="s">
        <v>448</v>
      </c>
      <c r="C39" s="122"/>
      <c r="D39" s="122"/>
      <c r="E39" s="211"/>
      <c r="F39" s="541"/>
      <c r="G39" s="209"/>
      <c r="H39" s="209"/>
      <c r="I39" s="209"/>
      <c r="J39" s="234"/>
      <c r="K39" s="209"/>
      <c r="L39" s="209"/>
      <c r="M39" s="209"/>
      <c r="N39" s="164"/>
      <c r="O39" s="598"/>
      <c r="P39" s="410"/>
      <c r="Q39" s="410"/>
      <c r="S39" s="126"/>
      <c r="T39" s="126"/>
      <c r="U39" s="43"/>
      <c r="V39" s="145"/>
    </row>
    <row r="40" spans="1:22" ht="17.25" x14ac:dyDescent="0.25">
      <c r="A40" s="154" t="s">
        <v>5</v>
      </c>
      <c r="B40" s="532" t="s">
        <v>347</v>
      </c>
      <c r="C40" s="533" t="s">
        <v>21</v>
      </c>
      <c r="D40" s="533" t="s">
        <v>22</v>
      </c>
      <c r="E40" s="155" t="s">
        <v>2</v>
      </c>
      <c r="F40" s="533" t="s">
        <v>23</v>
      </c>
      <c r="G40" s="533" t="s">
        <v>23</v>
      </c>
      <c r="H40" s="533" t="s">
        <v>23</v>
      </c>
      <c r="I40" s="152" t="s">
        <v>32</v>
      </c>
      <c r="J40" s="153" t="s">
        <v>371</v>
      </c>
      <c r="K40" s="153" t="s">
        <v>372</v>
      </c>
      <c r="L40" s="152" t="s">
        <v>32</v>
      </c>
      <c r="M40" s="153"/>
      <c r="Q40" s="120"/>
      <c r="R40" s="126"/>
      <c r="S40" s="126"/>
      <c r="T40" s="126"/>
      <c r="U40" s="165"/>
      <c r="V40" s="145"/>
    </row>
    <row r="41" spans="1:22" x14ac:dyDescent="0.25">
      <c r="A41" s="154"/>
      <c r="B41" s="154"/>
      <c r="C41" s="155"/>
      <c r="D41" s="155"/>
      <c r="E41" s="533" t="s">
        <v>67</v>
      </c>
      <c r="F41" s="533"/>
      <c r="G41" s="155" t="s">
        <v>24</v>
      </c>
      <c r="H41" s="155" t="s">
        <v>370</v>
      </c>
      <c r="I41" s="154"/>
      <c r="J41" s="155"/>
      <c r="K41" s="155"/>
      <c r="L41" s="154"/>
      <c r="M41" s="155"/>
      <c r="P41" s="126"/>
      <c r="Q41" s="126"/>
      <c r="R41" s="126"/>
      <c r="S41" s="126"/>
      <c r="T41" s="126"/>
      <c r="U41" s="165"/>
      <c r="V41" s="145"/>
    </row>
    <row r="42" spans="1:22" x14ac:dyDescent="0.25">
      <c r="A42" s="156"/>
      <c r="B42" s="156" t="s">
        <v>332</v>
      </c>
      <c r="C42" s="156"/>
      <c r="D42" s="156"/>
      <c r="E42" s="156" t="s">
        <v>310</v>
      </c>
      <c r="F42" s="156"/>
      <c r="G42" s="157" t="s">
        <v>311</v>
      </c>
      <c r="H42" s="157" t="s">
        <v>311</v>
      </c>
      <c r="I42" s="156"/>
      <c r="J42" s="157"/>
      <c r="K42" s="156"/>
      <c r="L42" s="156"/>
      <c r="M42" s="156"/>
      <c r="P42" s="126"/>
      <c r="Q42" s="126"/>
      <c r="R42" s="126"/>
      <c r="S42" s="126"/>
      <c r="T42" s="126"/>
      <c r="U42" s="43"/>
      <c r="V42" s="145"/>
    </row>
    <row r="43" spans="1:22" x14ac:dyDescent="0.25">
      <c r="A43" s="18">
        <v>1</v>
      </c>
      <c r="B43" s="48">
        <v>10</v>
      </c>
      <c r="C43" s="54">
        <v>83</v>
      </c>
      <c r="D43" s="59">
        <v>1.9</v>
      </c>
      <c r="E43" s="33">
        <f>IF(OR(B43="",$A$36="",$A$38="",$A$37="",$A$39=""),"",B43*$A$39*($A$38/($A$38-$A$37))^2)</f>
        <v>0.32112296408317581</v>
      </c>
      <c r="F43" s="735">
        <f>IF(OR(B43="",C43="",C44="",E43="",$A$35=""),"",(C43-$F$37)/E43)</f>
        <v>105.70781865786221</v>
      </c>
      <c r="G43" s="736">
        <f>IF(OR(F43="",F44="",$F$36=""),"",ABS(F43/$F$36-1)*100)</f>
        <v>2.3334584166281758</v>
      </c>
      <c r="H43" s="34">
        <f>IF(OR(F43="",F44=""),"",MAX(G43:G48))</f>
        <v>2.3334584166281758</v>
      </c>
      <c r="I43" s="18" t="str">
        <f>IF(H43="","",IF(H43&gt;10,"IKKE OK","OK"))</f>
        <v>OK</v>
      </c>
      <c r="J43" s="39">
        <f t="shared" ref="J43:J48" si="0">IF(D43="","",D43^2)</f>
        <v>3.61</v>
      </c>
      <c r="K43" s="33">
        <f>IF(J38="","",IF(J38="","",J38))</f>
        <v>0.99947121496832625</v>
      </c>
      <c r="L43" s="18" t="str">
        <f>IF(K43="","",IF(K43&lt;0.95,"IKKE OK","OK"))</f>
        <v>OK</v>
      </c>
      <c r="M43" s="34"/>
      <c r="O43" s="500"/>
      <c r="P43" s="499"/>
      <c r="Q43" s="499"/>
      <c r="R43" s="126"/>
      <c r="S43" s="126"/>
      <c r="T43" s="126"/>
      <c r="U43" s="47"/>
      <c r="V43" s="145"/>
    </row>
    <row r="44" spans="1:22" x14ac:dyDescent="0.25">
      <c r="A44" s="113">
        <v>2</v>
      </c>
      <c r="B44" s="49">
        <v>32</v>
      </c>
      <c r="C44" s="55">
        <v>155.6</v>
      </c>
      <c r="D44" s="56">
        <v>3.1</v>
      </c>
      <c r="E44" s="35">
        <f>IF(OR(B44="",$A$36="",$A$38="",$A$37="",$A$39=""),"",B44*$A$39*($A$38/($A$38-$A$37))^2)</f>
        <v>1.0275934850661625</v>
      </c>
      <c r="F44" s="31">
        <f>IF(OR(B44="",C44="",E44="",$A$35=""),"",(C44-$F$37)/E44)</f>
        <v>103.68419963982112</v>
      </c>
      <c r="G44" s="36">
        <f>IF(OR(F44=""),"",ABS(F44/$F$36-1)*100)</f>
        <v>0.37443650828608011</v>
      </c>
      <c r="H44" s="166"/>
      <c r="I44" s="166"/>
      <c r="J44" s="40">
        <f t="shared" si="0"/>
        <v>9.6100000000000012</v>
      </c>
      <c r="K44" s="235"/>
      <c r="L44" s="166"/>
      <c r="M44" s="166"/>
      <c r="O44" s="500"/>
      <c r="P44" s="499"/>
      <c r="Q44" s="499"/>
      <c r="R44" s="126"/>
      <c r="S44" s="126"/>
      <c r="T44" s="126"/>
      <c r="U44" s="47"/>
      <c r="V44" s="145"/>
    </row>
    <row r="45" spans="1:22" x14ac:dyDescent="0.25">
      <c r="A45" s="113">
        <v>3</v>
      </c>
      <c r="B45" s="49">
        <v>63</v>
      </c>
      <c r="C45" s="55">
        <v>256.3</v>
      </c>
      <c r="D45" s="56">
        <v>4.3</v>
      </c>
      <c r="E45" s="35">
        <f t="shared" ref="E45:E48" si="1">IF(OR(B45="",$A$36="",$A$38="",$A$37="",$A$39=""),"",B45*$A$39*($A$38/($A$38-$A$37))^2)</f>
        <v>2.0230746737240075</v>
      </c>
      <c r="F45" s="31">
        <f t="shared" ref="F45:F48" si="2">IF(OR(B45="",C45="",E45="",$A$35=""),"",(C45-$F$37)/E45)</f>
        <v>102.44071103549014</v>
      </c>
      <c r="G45" s="36">
        <f t="shared" ref="G45:G47" si="3">IF(OR(F45=""),"",ABS(F45/$F$36-1)*100)</f>
        <v>0.82935797918431975</v>
      </c>
      <c r="H45" s="166"/>
      <c r="I45" s="166"/>
      <c r="J45" s="40">
        <f t="shared" si="0"/>
        <v>18.489999999999998</v>
      </c>
      <c r="K45" s="235"/>
      <c r="L45" s="166"/>
      <c r="M45" s="166"/>
      <c r="O45" s="500"/>
      <c r="P45" s="499"/>
      <c r="Q45" s="499"/>
      <c r="U45" s="47"/>
      <c r="V45" s="120"/>
    </row>
    <row r="46" spans="1:22" x14ac:dyDescent="0.25">
      <c r="A46" s="113">
        <v>4</v>
      </c>
      <c r="B46" s="49">
        <v>100</v>
      </c>
      <c r="C46" s="55">
        <v>380.8</v>
      </c>
      <c r="D46" s="56">
        <v>5.4</v>
      </c>
      <c r="E46" s="35">
        <f t="shared" si="1"/>
        <v>3.2112296408317582</v>
      </c>
      <c r="F46" s="31">
        <f t="shared" si="2"/>
        <v>103.30784315015616</v>
      </c>
      <c r="G46" s="36">
        <f t="shared" si="3"/>
        <v>1.0093911173059134E-2</v>
      </c>
      <c r="H46" s="166"/>
      <c r="I46" s="166"/>
      <c r="J46" s="40">
        <f t="shared" si="0"/>
        <v>29.160000000000004</v>
      </c>
      <c r="K46" s="235"/>
      <c r="L46" s="166"/>
      <c r="M46" s="166"/>
      <c r="O46" s="500"/>
      <c r="P46" s="499"/>
      <c r="Q46" s="499"/>
      <c r="U46" s="47"/>
      <c r="V46" s="120"/>
    </row>
    <row r="47" spans="1:22" x14ac:dyDescent="0.25">
      <c r="A47" s="113">
        <v>5</v>
      </c>
      <c r="B47" s="49">
        <v>160</v>
      </c>
      <c r="C47" s="55">
        <v>580.29999999999995</v>
      </c>
      <c r="D47" s="56">
        <v>6.8</v>
      </c>
      <c r="E47" s="35">
        <f t="shared" si="1"/>
        <v>5.137967425330813</v>
      </c>
      <c r="F47" s="31">
        <f t="shared" si="2"/>
        <v>103.39598601483442</v>
      </c>
      <c r="G47" s="36">
        <f t="shared" si="3"/>
        <v>9.5423116635817706E-2</v>
      </c>
      <c r="H47" s="166"/>
      <c r="I47" s="166"/>
      <c r="J47" s="40">
        <f t="shared" si="0"/>
        <v>46.239999999999995</v>
      </c>
      <c r="K47" s="235"/>
      <c r="L47" s="166"/>
      <c r="M47" s="166"/>
      <c r="O47" s="500"/>
      <c r="P47" s="499"/>
      <c r="Q47" s="499"/>
      <c r="U47" s="47"/>
      <c r="V47" s="120"/>
    </row>
    <row r="48" spans="1:22" x14ac:dyDescent="0.25">
      <c r="A48" s="121">
        <v>6</v>
      </c>
      <c r="B48" s="50">
        <v>200</v>
      </c>
      <c r="C48" s="57">
        <v>712.5</v>
      </c>
      <c r="D48" s="58">
        <v>7.7</v>
      </c>
      <c r="E48" s="37">
        <f t="shared" si="1"/>
        <v>6.4224592816635164</v>
      </c>
      <c r="F48" s="32">
        <f t="shared" si="2"/>
        <v>103.30080409358968</v>
      </c>
      <c r="G48" s="38">
        <f>IF(OR(F48=""),"",ABS(F48/$F$36-1)*100)</f>
        <v>3.2795523906781199E-3</v>
      </c>
      <c r="H48" s="167"/>
      <c r="I48" s="167"/>
      <c r="J48" s="41">
        <f t="shared" si="0"/>
        <v>59.290000000000006</v>
      </c>
      <c r="K48" s="236"/>
      <c r="L48" s="167"/>
      <c r="M48" s="167"/>
      <c r="O48" s="500"/>
      <c r="P48" s="499"/>
      <c r="Q48" s="499"/>
      <c r="U48" s="47"/>
      <c r="V48" s="120"/>
    </row>
    <row r="49" spans="1:22" ht="17.25" x14ac:dyDescent="0.25">
      <c r="A49" s="647" t="s">
        <v>555</v>
      </c>
      <c r="P49" s="126"/>
      <c r="Q49" s="126"/>
      <c r="R49" s="581"/>
      <c r="U49" s="120"/>
      <c r="V49" s="120"/>
    </row>
    <row r="50" spans="1:22" x14ac:dyDescent="0.25">
      <c r="K50" s="237"/>
    </row>
    <row r="51" spans="1:22" x14ac:dyDescent="0.25">
      <c r="K51" s="237"/>
    </row>
    <row r="70" spans="1:19" x14ac:dyDescent="0.25">
      <c r="A70" s="719" t="s">
        <v>654</v>
      </c>
      <c r="B70" s="134"/>
      <c r="C70" s="231"/>
      <c r="D70" s="134"/>
      <c r="E70" s="134"/>
      <c r="F70" s="134"/>
      <c r="G70" s="238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</row>
    <row r="71" spans="1:19" x14ac:dyDescent="0.25">
      <c r="A71" s="145"/>
      <c r="C71" s="169"/>
    </row>
    <row r="72" spans="1:19" ht="17.25" x14ac:dyDescent="0.25">
      <c r="A72" s="1" t="s">
        <v>171</v>
      </c>
      <c r="B72" s="559" t="s">
        <v>20</v>
      </c>
      <c r="C72" s="119"/>
      <c r="D72" s="119"/>
      <c r="E72" s="143"/>
      <c r="F72" s="203" t="s">
        <v>327</v>
      </c>
      <c r="G72" s="203"/>
      <c r="H72" s="203"/>
      <c r="I72" s="203"/>
      <c r="J72" s="204" t="s">
        <v>367</v>
      </c>
      <c r="K72" s="203"/>
      <c r="L72" s="119"/>
      <c r="M72" s="119"/>
      <c r="N72" s="164"/>
      <c r="O72" s="145"/>
    </row>
    <row r="73" spans="1:19" ht="17.25" x14ac:dyDescent="0.25">
      <c r="A73" s="9">
        <v>29</v>
      </c>
      <c r="B73" s="586" t="s">
        <v>531</v>
      </c>
      <c r="C73" s="120"/>
      <c r="D73" s="120"/>
      <c r="E73" s="534"/>
      <c r="F73" s="544">
        <f>IF(OR(C79="",C80="",D79="",$A$72=""),"",SLOPE(D79:D84,C79:C84))</f>
        <v>103.67969757259576</v>
      </c>
      <c r="G73" s="206" t="s">
        <v>365</v>
      </c>
      <c r="H73" s="120"/>
      <c r="I73" s="120"/>
      <c r="J73" s="46">
        <f>IF(OR(C79="",C80="",E79="",$A$72=""),"",SLOPE(J79:J84,C79:C84))</f>
        <v>9.1094781645222724</v>
      </c>
      <c r="K73" s="206" t="s">
        <v>369</v>
      </c>
      <c r="L73" s="120"/>
      <c r="M73" s="120"/>
      <c r="N73" s="164"/>
      <c r="O73" s="145"/>
      <c r="S73" s="239"/>
    </row>
    <row r="74" spans="1:19" ht="17.25" x14ac:dyDescent="0.25">
      <c r="A74" s="9">
        <v>45</v>
      </c>
      <c r="B74" s="600" t="s">
        <v>446</v>
      </c>
      <c r="C74" s="120"/>
      <c r="D74" s="120"/>
      <c r="E74" s="546"/>
      <c r="F74" s="544">
        <f>IF(OR(C79="",C80="",D79="",$A$72=""),"",INTERCEPT(D79:D84,C79:C84))</f>
        <v>49.054791945820455</v>
      </c>
      <c r="G74" s="206" t="s">
        <v>366</v>
      </c>
      <c r="H74" s="120"/>
      <c r="I74" s="120"/>
      <c r="J74" s="46">
        <f>IF(OR(C79="",C80="",E79="",$A$72=""),"",INTERCEPT(J79:J84,C79:C84))</f>
        <v>0.28867691729368872</v>
      </c>
      <c r="K74" s="206" t="s">
        <v>368</v>
      </c>
      <c r="L74" s="120"/>
      <c r="M74" s="120"/>
      <c r="N74" s="164"/>
      <c r="O74" s="145"/>
    </row>
    <row r="75" spans="1:19" ht="17.25" x14ac:dyDescent="0.25">
      <c r="A75" s="2">
        <v>575</v>
      </c>
      <c r="B75" s="701" t="s">
        <v>655</v>
      </c>
      <c r="C75" s="122"/>
      <c r="D75" s="122"/>
      <c r="E75" s="702"/>
      <c r="F75" s="545">
        <f>IF(OR(C79="",C80="",D79="",$A$72=""),"",RSQ(D79:D84,C79:C84))</f>
        <v>0.99998671246149173</v>
      </c>
      <c r="G75" s="206" t="s">
        <v>373</v>
      </c>
      <c r="H75" s="120"/>
      <c r="I75" s="120"/>
      <c r="J75" s="240">
        <f>IF(OR(C79="",C80="",E79="",$A$72=""),"",RSQ(J79:J84,C79:C84))</f>
        <v>0.99947121496832625</v>
      </c>
      <c r="K75" s="206" t="s">
        <v>374</v>
      </c>
      <c r="L75" s="120"/>
      <c r="M75" s="120"/>
      <c r="N75" s="164"/>
      <c r="O75" s="145"/>
    </row>
    <row r="76" spans="1:19" ht="17.25" x14ac:dyDescent="0.25">
      <c r="A76" s="154" t="s">
        <v>5</v>
      </c>
      <c r="B76" s="532" t="s">
        <v>347</v>
      </c>
      <c r="C76" s="155" t="s">
        <v>2</v>
      </c>
      <c r="D76" s="533" t="s">
        <v>21</v>
      </c>
      <c r="E76" s="533" t="s">
        <v>22</v>
      </c>
      <c r="F76" s="539" t="s">
        <v>21</v>
      </c>
      <c r="G76" s="539" t="s">
        <v>21</v>
      </c>
      <c r="H76" s="539" t="s">
        <v>21</v>
      </c>
      <c r="I76" s="152" t="s">
        <v>0</v>
      </c>
      <c r="J76" s="153" t="s">
        <v>371</v>
      </c>
      <c r="K76" s="153" t="s">
        <v>372</v>
      </c>
      <c r="L76" s="152" t="s">
        <v>0</v>
      </c>
      <c r="M76" s="184"/>
      <c r="N76" s="164"/>
      <c r="O76" s="43"/>
    </row>
    <row r="77" spans="1:19" x14ac:dyDescent="0.25">
      <c r="A77" s="154"/>
      <c r="B77" s="154"/>
      <c r="C77" s="533" t="s">
        <v>67</v>
      </c>
      <c r="D77" s="155"/>
      <c r="E77" s="155"/>
      <c r="F77" s="533" t="s">
        <v>23</v>
      </c>
      <c r="G77" s="155" t="s">
        <v>24</v>
      </c>
      <c r="H77" s="155" t="s">
        <v>370</v>
      </c>
      <c r="I77" s="154"/>
      <c r="J77" s="155"/>
      <c r="K77" s="155"/>
      <c r="L77" s="154"/>
      <c r="M77" s="185"/>
      <c r="N77" s="164"/>
      <c r="O77" s="43"/>
    </row>
    <row r="78" spans="1:19" x14ac:dyDescent="0.25">
      <c r="A78" s="156"/>
      <c r="B78" s="156" t="s">
        <v>332</v>
      </c>
      <c r="C78" s="156" t="s">
        <v>310</v>
      </c>
      <c r="D78" s="156"/>
      <c r="E78" s="156"/>
      <c r="F78" s="535"/>
      <c r="G78" s="157" t="s">
        <v>311</v>
      </c>
      <c r="H78" s="157" t="s">
        <v>311</v>
      </c>
      <c r="I78" s="156"/>
      <c r="J78" s="157"/>
      <c r="K78" s="156"/>
      <c r="L78" s="156"/>
      <c r="M78" s="186"/>
      <c r="N78" s="164"/>
      <c r="O78" s="43"/>
    </row>
    <row r="79" spans="1:19" x14ac:dyDescent="0.25">
      <c r="A79" s="18">
        <v>1</v>
      </c>
      <c r="B79" s="48">
        <v>10</v>
      </c>
      <c r="C79" s="51">
        <v>0.31993893995978168</v>
      </c>
      <c r="D79" s="54">
        <v>83</v>
      </c>
      <c r="E79" s="59">
        <v>1.9</v>
      </c>
      <c r="F79" s="30">
        <f>IF(OR(C79="",C80="",$A$72="",$F$74=""),"",(D79-$F$74)/C79)</f>
        <v>106.09902020193813</v>
      </c>
      <c r="G79" s="34">
        <f>IF(OR(C79="",C80="",$A$72="",$F$73=""),"",ABS(F79/$F$73-1)*100)</f>
        <v>2.3334584166281758</v>
      </c>
      <c r="H79" s="34">
        <f>IF(OR(C79="",C80="",$A$72="",$F$73=""),"",MAX(G79:G84))</f>
        <v>2.3334584166281758</v>
      </c>
      <c r="I79" s="492" t="str">
        <f>IF(OR(C79="",C80="",$A$72="",$F$74=""),"",IF(ABS(H79)&gt;10,"IKKE OK","OK"))</f>
        <v>OK</v>
      </c>
      <c r="J79" s="39">
        <f t="shared" ref="J79:J84" si="4">IF(E79="","",E79^2)</f>
        <v>3.61</v>
      </c>
      <c r="K79" s="33">
        <f>IF(J79="","",IF(J75="","",J75))</f>
        <v>0.99947121496832625</v>
      </c>
      <c r="L79" s="492" t="str">
        <f>IF(OR(C79="",K79=""),"",IF(K79&lt;0.95,"IKKE OK","OK"))</f>
        <v>OK</v>
      </c>
      <c r="M79" s="34"/>
      <c r="N79" s="164"/>
      <c r="O79" s="43"/>
    </row>
    <row r="80" spans="1:19" x14ac:dyDescent="0.25">
      <c r="A80" s="113">
        <v>2</v>
      </c>
      <c r="B80" s="49">
        <v>32</v>
      </c>
      <c r="C80" s="52">
        <v>1.0238046078713012</v>
      </c>
      <c r="D80" s="55">
        <v>155.6</v>
      </c>
      <c r="E80" s="56">
        <v>3.1</v>
      </c>
      <c r="F80" s="31">
        <f t="shared" ref="F80:F84" si="5">IF(OR(C80="",$A$72="",$F$74=""),"",(D80-$F$74)/C80)</f>
        <v>104.06791221198816</v>
      </c>
      <c r="G80" s="36">
        <f t="shared" ref="G80:G84" si="6">IF(OR(D80="",$A$72=""),"",ABS(F80/$F$73-1)*100)</f>
        <v>0.37443650828608011</v>
      </c>
      <c r="H80" s="166"/>
      <c r="I80" s="166"/>
      <c r="J80" s="40">
        <f t="shared" si="4"/>
        <v>9.6100000000000012</v>
      </c>
      <c r="K80" s="235"/>
      <c r="L80" s="166"/>
      <c r="M80" s="166"/>
      <c r="N80" s="164"/>
      <c r="O80" s="43"/>
    </row>
    <row r="81" spans="1:25" x14ac:dyDescent="0.25">
      <c r="A81" s="113">
        <v>3</v>
      </c>
      <c r="B81" s="49">
        <v>63</v>
      </c>
      <c r="C81" s="52">
        <v>2.0156153217466244</v>
      </c>
      <c r="D81" s="55">
        <v>256.3</v>
      </c>
      <c r="E81" s="56">
        <v>4.3</v>
      </c>
      <c r="F81" s="31">
        <f t="shared" si="5"/>
        <v>102.81982172798327</v>
      </c>
      <c r="G81" s="36">
        <f t="shared" si="6"/>
        <v>0.82935797918431975</v>
      </c>
      <c r="H81" s="166"/>
      <c r="I81" s="166"/>
      <c r="J81" s="40">
        <f t="shared" si="4"/>
        <v>18.489999999999998</v>
      </c>
      <c r="K81" s="235"/>
      <c r="L81" s="166"/>
      <c r="M81" s="166"/>
      <c r="N81" s="164"/>
      <c r="O81" s="43"/>
    </row>
    <row r="82" spans="1:25" x14ac:dyDescent="0.25">
      <c r="A82" s="113">
        <v>4</v>
      </c>
      <c r="B82" s="49">
        <v>100</v>
      </c>
      <c r="C82" s="52">
        <v>3.1993893995978167</v>
      </c>
      <c r="D82" s="55">
        <v>380.8</v>
      </c>
      <c r="E82" s="56">
        <v>5.4</v>
      </c>
      <c r="F82" s="31">
        <f t="shared" si="5"/>
        <v>103.69016290917324</v>
      </c>
      <c r="G82" s="36">
        <f t="shared" si="6"/>
        <v>1.0093911173059134E-2</v>
      </c>
      <c r="H82" s="166"/>
      <c r="I82" s="166"/>
      <c r="J82" s="40">
        <f t="shared" si="4"/>
        <v>29.160000000000004</v>
      </c>
      <c r="K82" s="235"/>
      <c r="L82" s="166"/>
      <c r="M82" s="166"/>
      <c r="N82" s="164"/>
      <c r="O82" s="43"/>
    </row>
    <row r="83" spans="1:25" x14ac:dyDescent="0.25">
      <c r="A83" s="113">
        <v>5</v>
      </c>
      <c r="B83" s="49">
        <v>160</v>
      </c>
      <c r="C83" s="52">
        <v>5.1190230393565068</v>
      </c>
      <c r="D83" s="55">
        <v>580.29999999999995</v>
      </c>
      <c r="E83" s="56">
        <v>6.8</v>
      </c>
      <c r="F83" s="31">
        <f t="shared" si="5"/>
        <v>103.77863197133811</v>
      </c>
      <c r="G83" s="36">
        <f t="shared" si="6"/>
        <v>9.5423116635817706E-2</v>
      </c>
      <c r="H83" s="166"/>
      <c r="I83" s="166"/>
      <c r="J83" s="40">
        <f t="shared" si="4"/>
        <v>46.239999999999995</v>
      </c>
      <c r="K83" s="235"/>
      <c r="L83" s="166"/>
      <c r="M83" s="166"/>
      <c r="N83" s="164"/>
      <c r="O83" s="43"/>
    </row>
    <row r="84" spans="1:25" x14ac:dyDescent="0.25">
      <c r="A84" s="121">
        <v>6</v>
      </c>
      <c r="B84" s="50">
        <v>200</v>
      </c>
      <c r="C84" s="53">
        <v>6.3987787991956333</v>
      </c>
      <c r="D84" s="57">
        <v>712.5</v>
      </c>
      <c r="E84" s="58">
        <v>7.7</v>
      </c>
      <c r="F84" s="32">
        <f t="shared" si="5"/>
        <v>103.68309780259615</v>
      </c>
      <c r="G84" s="38">
        <f t="shared" si="6"/>
        <v>3.2795523906781199E-3</v>
      </c>
      <c r="H84" s="167"/>
      <c r="I84" s="167"/>
      <c r="J84" s="41">
        <f t="shared" si="4"/>
        <v>59.290000000000006</v>
      </c>
      <c r="K84" s="236"/>
      <c r="L84" s="167"/>
      <c r="M84" s="167"/>
      <c r="N84" s="164"/>
      <c r="O84" s="43"/>
    </row>
    <row r="85" spans="1:25" ht="17.25" x14ac:dyDescent="0.25">
      <c r="A85" s="647" t="s">
        <v>556</v>
      </c>
      <c r="R85" s="581"/>
    </row>
    <row r="86" spans="1:25" x14ac:dyDescent="0.25">
      <c r="K86" s="237"/>
    </row>
    <row r="87" spans="1:25" x14ac:dyDescent="0.25">
      <c r="K87" s="237"/>
    </row>
    <row r="88" spans="1:25" x14ac:dyDescent="0.25">
      <c r="U88" s="145"/>
      <c r="V88" s="145"/>
      <c r="W88" s="145"/>
      <c r="X88" s="145"/>
      <c r="Y88" s="145"/>
    </row>
    <row r="89" spans="1:25" x14ac:dyDescent="0.25">
      <c r="U89" s="158"/>
      <c r="V89" s="145"/>
      <c r="W89" s="145"/>
      <c r="X89" s="145"/>
      <c r="Y89" s="145"/>
    </row>
    <row r="90" spans="1:25" x14ac:dyDescent="0.25">
      <c r="U90" s="43"/>
      <c r="V90" s="44"/>
      <c r="W90" s="242"/>
      <c r="X90" s="47"/>
      <c r="Y90" s="145"/>
    </row>
    <row r="91" spans="1:25" x14ac:dyDescent="0.25">
      <c r="U91" s="43"/>
      <c r="V91" s="44"/>
      <c r="W91" s="242"/>
      <c r="X91" s="47"/>
      <c r="Y91" s="145"/>
    </row>
    <row r="92" spans="1:25" x14ac:dyDescent="0.25">
      <c r="U92" s="43"/>
      <c r="V92" s="44"/>
      <c r="W92" s="242"/>
      <c r="X92" s="47"/>
      <c r="Y92" s="145"/>
    </row>
    <row r="93" spans="1:25" x14ac:dyDescent="0.25">
      <c r="U93" s="43"/>
      <c r="V93" s="44"/>
      <c r="W93" s="242"/>
      <c r="X93" s="47"/>
      <c r="Y93" s="145"/>
    </row>
    <row r="94" spans="1:25" x14ac:dyDescent="0.25">
      <c r="U94" s="43"/>
      <c r="V94" s="44"/>
      <c r="W94" s="242"/>
      <c r="X94" s="47"/>
      <c r="Y94" s="145"/>
    </row>
    <row r="95" spans="1:25" x14ac:dyDescent="0.25">
      <c r="U95" s="43"/>
      <c r="V95" s="44"/>
      <c r="W95" s="242"/>
      <c r="X95" s="47"/>
      <c r="Y95" s="145"/>
    </row>
    <row r="96" spans="1:25" x14ac:dyDescent="0.25">
      <c r="U96" s="43"/>
      <c r="V96" s="44"/>
      <c r="W96" s="242"/>
      <c r="X96" s="47"/>
      <c r="Y96" s="145"/>
    </row>
    <row r="97" spans="1:25" x14ac:dyDescent="0.25">
      <c r="U97" s="43"/>
      <c r="V97" s="44"/>
      <c r="W97" s="242"/>
      <c r="X97" s="47"/>
      <c r="Y97" s="145"/>
    </row>
    <row r="98" spans="1:25" x14ac:dyDescent="0.25">
      <c r="U98" s="43"/>
      <c r="V98" s="44"/>
      <c r="W98" s="242"/>
      <c r="X98" s="47"/>
      <c r="Y98" s="145"/>
    </row>
    <row r="99" spans="1:25" x14ac:dyDescent="0.25">
      <c r="U99" s="43"/>
      <c r="V99" s="44"/>
      <c r="W99" s="242"/>
      <c r="X99" s="47"/>
      <c r="Y99" s="145"/>
    </row>
    <row r="100" spans="1:25" x14ac:dyDescent="0.25">
      <c r="U100" s="43"/>
      <c r="V100" s="44"/>
      <c r="W100" s="242"/>
      <c r="X100" s="47"/>
      <c r="Y100" s="145"/>
    </row>
    <row r="101" spans="1:25" x14ac:dyDescent="0.25">
      <c r="U101" s="43"/>
      <c r="V101" s="44"/>
      <c r="W101" s="242"/>
      <c r="X101" s="47"/>
      <c r="Y101" s="145"/>
    </row>
    <row r="102" spans="1:25" x14ac:dyDescent="0.25">
      <c r="U102" s="145"/>
      <c r="V102" s="145"/>
      <c r="W102" s="145"/>
      <c r="X102" s="145"/>
      <c r="Y102" s="145"/>
    </row>
    <row r="103" spans="1:25" x14ac:dyDescent="0.25">
      <c r="U103" s="145"/>
      <c r="V103" s="145"/>
      <c r="W103" s="145"/>
      <c r="X103" s="145"/>
      <c r="Y103" s="145"/>
    </row>
    <row r="104" spans="1:25" x14ac:dyDescent="0.25">
      <c r="U104" s="305"/>
      <c r="V104" s="145"/>
      <c r="W104" s="145"/>
      <c r="X104" s="145"/>
      <c r="Y104" s="145"/>
    </row>
    <row r="105" spans="1:25" x14ac:dyDescent="0.25">
      <c r="U105" s="145"/>
      <c r="V105" s="145"/>
      <c r="W105" s="145"/>
      <c r="X105" s="145"/>
      <c r="Y105" s="145"/>
    </row>
    <row r="108" spans="1:25" ht="18.75" x14ac:dyDescent="0.3">
      <c r="A108" s="116" t="s">
        <v>656</v>
      </c>
      <c r="B108" s="117"/>
      <c r="C108" s="117"/>
      <c r="D108" s="117"/>
      <c r="E108" s="117"/>
      <c r="F108" s="117"/>
      <c r="G108" s="117"/>
      <c r="H108" s="117"/>
      <c r="I108" s="117"/>
      <c r="J108" s="137"/>
      <c r="K108" s="137"/>
      <c r="L108" s="137"/>
      <c r="M108" s="137"/>
      <c r="N108" s="137"/>
      <c r="O108" s="137"/>
      <c r="P108" s="137"/>
      <c r="Q108" s="137"/>
      <c r="R108" s="137"/>
    </row>
    <row r="110" spans="1:25" x14ac:dyDescent="0.25">
      <c r="A110" s="150" t="s">
        <v>454</v>
      </c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0" t="s">
        <v>421</v>
      </c>
      <c r="N110" s="151"/>
      <c r="O110" s="151"/>
      <c r="P110" s="151"/>
      <c r="Q110" s="151"/>
      <c r="R110" s="151"/>
    </row>
    <row r="111" spans="1:25" x14ac:dyDescent="0.25">
      <c r="A111" s="141" t="s">
        <v>307</v>
      </c>
      <c r="B111" s="119" t="s">
        <v>318</v>
      </c>
      <c r="C111" s="119"/>
      <c r="D111" s="230" t="s">
        <v>375</v>
      </c>
      <c r="E111" s="119"/>
      <c r="F111" s="119"/>
      <c r="G111" s="119"/>
      <c r="H111" s="119"/>
      <c r="I111" s="119"/>
      <c r="J111" s="119"/>
      <c r="K111" s="119"/>
      <c r="L111" s="119"/>
      <c r="M111" s="564"/>
      <c r="N111" s="565"/>
      <c r="O111" s="565"/>
      <c r="P111" s="565"/>
      <c r="Q111" s="565"/>
      <c r="R111" s="566"/>
    </row>
    <row r="112" spans="1:25" x14ac:dyDescent="0.25">
      <c r="A112" s="713" t="s">
        <v>560</v>
      </c>
      <c r="B112" s="713" t="s">
        <v>561</v>
      </c>
      <c r="C112" s="120"/>
      <c r="D112" s="706"/>
      <c r="E112" s="120"/>
      <c r="F112" s="120"/>
      <c r="G112" s="120"/>
      <c r="H112" s="120"/>
      <c r="I112" s="120"/>
      <c r="J112" s="120"/>
      <c r="K112" s="120"/>
      <c r="L112" s="120"/>
      <c r="M112" s="652"/>
      <c r="N112" s="653"/>
      <c r="O112" s="653"/>
      <c r="P112" s="653"/>
      <c r="Q112" s="653"/>
      <c r="R112" s="654"/>
    </row>
    <row r="113" spans="1:27" x14ac:dyDescent="0.25">
      <c r="A113" s="164" t="s">
        <v>308</v>
      </c>
      <c r="B113" s="120" t="s">
        <v>521</v>
      </c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561"/>
      <c r="N113" s="562"/>
      <c r="O113" s="562"/>
      <c r="P113" s="562"/>
      <c r="Q113" s="562"/>
      <c r="R113" s="563"/>
    </row>
    <row r="114" spans="1:27" x14ac:dyDescent="0.25">
      <c r="A114" s="164"/>
      <c r="B114" s="114" t="s">
        <v>657</v>
      </c>
      <c r="C114" s="114"/>
      <c r="D114" s="114"/>
      <c r="E114" s="114"/>
      <c r="F114" s="120"/>
      <c r="G114" s="120"/>
      <c r="H114" s="120"/>
      <c r="I114" s="120"/>
      <c r="J114" s="120"/>
      <c r="K114" s="120"/>
      <c r="L114" s="120"/>
      <c r="M114" s="561"/>
      <c r="N114" s="562"/>
      <c r="O114" s="562"/>
      <c r="P114" s="562"/>
      <c r="Q114" s="562"/>
      <c r="R114" s="563"/>
    </row>
    <row r="115" spans="1:27" x14ac:dyDescent="0.25">
      <c r="A115" s="164" t="s">
        <v>76</v>
      </c>
      <c r="B115" s="94" t="s">
        <v>529</v>
      </c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561"/>
      <c r="N115" s="562"/>
      <c r="O115" s="562"/>
      <c r="P115" s="562"/>
      <c r="Q115" s="562"/>
      <c r="R115" s="563"/>
    </row>
    <row r="116" spans="1:27" x14ac:dyDescent="0.25">
      <c r="A116" s="164"/>
      <c r="B116" s="94" t="s">
        <v>450</v>
      </c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561"/>
      <c r="N116" s="562"/>
      <c r="O116" s="562"/>
      <c r="P116" s="562"/>
      <c r="Q116" s="562"/>
      <c r="R116" s="563"/>
    </row>
    <row r="117" spans="1:27" x14ac:dyDescent="0.25">
      <c r="A117" s="164"/>
      <c r="B117" s="120" t="s">
        <v>451</v>
      </c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571"/>
      <c r="N117" s="572"/>
      <c r="O117" s="572"/>
      <c r="P117" s="572"/>
      <c r="Q117" s="572"/>
      <c r="R117" s="573"/>
    </row>
    <row r="118" spans="1:27" x14ac:dyDescent="0.25">
      <c r="A118" s="164"/>
      <c r="B118" s="94" t="s">
        <v>452</v>
      </c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571"/>
      <c r="N118" s="572"/>
      <c r="O118" s="572"/>
      <c r="P118" s="572"/>
      <c r="Q118" s="572"/>
      <c r="R118" s="573"/>
    </row>
    <row r="119" spans="1:27" x14ac:dyDescent="0.25">
      <c r="A119" s="164"/>
      <c r="B119" s="120" t="s">
        <v>453</v>
      </c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571"/>
      <c r="N119" s="572"/>
      <c r="O119" s="572"/>
      <c r="P119" s="572"/>
      <c r="Q119" s="572"/>
      <c r="R119" s="573"/>
    </row>
    <row r="120" spans="1:27" x14ac:dyDescent="0.25">
      <c r="B120" s="94" t="s">
        <v>606</v>
      </c>
      <c r="G120" s="120"/>
      <c r="H120" s="120"/>
      <c r="I120" s="120"/>
      <c r="J120" s="120"/>
      <c r="K120" s="120"/>
      <c r="L120" s="120"/>
      <c r="M120" s="571"/>
      <c r="N120" s="572"/>
      <c r="O120" s="572"/>
      <c r="P120" s="572"/>
      <c r="Q120" s="572"/>
      <c r="R120" s="573"/>
    </row>
    <row r="121" spans="1:27" x14ac:dyDescent="0.25">
      <c r="A121" s="164"/>
      <c r="B121" s="713" t="s">
        <v>658</v>
      </c>
      <c r="L121" s="120"/>
      <c r="M121" s="571"/>
      <c r="N121" s="572"/>
      <c r="O121" s="572"/>
      <c r="P121" s="572"/>
      <c r="Q121" s="572"/>
      <c r="R121" s="573"/>
    </row>
    <row r="122" spans="1:27" x14ac:dyDescent="0.25">
      <c r="A122" s="164"/>
      <c r="B122" s="94" t="s">
        <v>528</v>
      </c>
      <c r="L122" s="120"/>
      <c r="M122" s="571"/>
      <c r="N122" s="572"/>
      <c r="O122" s="572"/>
      <c r="P122" s="572"/>
      <c r="Q122" s="572"/>
      <c r="R122" s="573"/>
    </row>
    <row r="123" spans="1:27" x14ac:dyDescent="0.25">
      <c r="A123" s="160" t="s">
        <v>100</v>
      </c>
      <c r="B123" s="175" t="s">
        <v>376</v>
      </c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574"/>
      <c r="N123" s="543"/>
      <c r="O123" s="543"/>
      <c r="P123" s="543"/>
      <c r="Q123" s="543"/>
      <c r="R123" s="575"/>
    </row>
    <row r="124" spans="1:27" x14ac:dyDescent="0.25">
      <c r="A124" s="120"/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</row>
    <row r="125" spans="1:27" x14ac:dyDescent="0.25">
      <c r="A125" s="150" t="s">
        <v>455</v>
      </c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</row>
    <row r="126" spans="1:27" x14ac:dyDescent="0.25">
      <c r="A126" s="120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</row>
    <row r="127" spans="1:27" x14ac:dyDescent="0.25">
      <c r="A127" s="181" t="s">
        <v>456</v>
      </c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  <c r="AA127" s="134"/>
    </row>
    <row r="129" spans="1:26" x14ac:dyDescent="0.25">
      <c r="A129" s="1">
        <v>0.2</v>
      </c>
      <c r="B129" s="119" t="s">
        <v>607</v>
      </c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43"/>
    </row>
    <row r="130" spans="1:26" ht="18" x14ac:dyDescent="0.35">
      <c r="A130" s="154" t="s">
        <v>5</v>
      </c>
      <c r="B130" s="154" t="s">
        <v>59</v>
      </c>
      <c r="C130" s="154" t="s">
        <v>25</v>
      </c>
      <c r="D130" s="532" t="s">
        <v>348</v>
      </c>
      <c r="E130" s="533" t="s">
        <v>347</v>
      </c>
      <c r="F130" s="155" t="s">
        <v>52</v>
      </c>
      <c r="G130" s="533" t="s">
        <v>21</v>
      </c>
      <c r="H130" s="533" t="s">
        <v>21</v>
      </c>
      <c r="I130" s="533" t="s">
        <v>22</v>
      </c>
      <c r="J130" s="533" t="s">
        <v>29</v>
      </c>
      <c r="K130" s="155" t="s">
        <v>690</v>
      </c>
      <c r="L130" s="155" t="s">
        <v>0</v>
      </c>
      <c r="M130" s="155" t="s">
        <v>377</v>
      </c>
    </row>
    <row r="131" spans="1:26" x14ac:dyDescent="0.25">
      <c r="A131" s="154"/>
      <c r="B131" s="154" t="s">
        <v>60</v>
      </c>
      <c r="C131" s="154"/>
      <c r="D131" s="154"/>
      <c r="E131" s="155"/>
      <c r="F131" s="155" t="s">
        <v>26</v>
      </c>
      <c r="G131" s="155" t="s">
        <v>28</v>
      </c>
      <c r="H131" s="155" t="s">
        <v>25</v>
      </c>
      <c r="I131" s="155" t="s">
        <v>25</v>
      </c>
      <c r="J131" s="533"/>
      <c r="K131" s="533"/>
      <c r="L131" s="155"/>
      <c r="M131" s="155" t="s">
        <v>4</v>
      </c>
      <c r="T131" s="145"/>
      <c r="U131" s="145"/>
      <c r="V131" s="145"/>
      <c r="W131" s="145"/>
      <c r="X131" s="145"/>
      <c r="Y131" s="145"/>
      <c r="Z131" s="145"/>
    </row>
    <row r="132" spans="1:26" x14ac:dyDescent="0.25">
      <c r="A132" s="156"/>
      <c r="B132" s="154" t="s">
        <v>83</v>
      </c>
      <c r="C132" s="154" t="s">
        <v>83</v>
      </c>
      <c r="D132" s="156" t="s">
        <v>344</v>
      </c>
      <c r="E132" s="156" t="s">
        <v>332</v>
      </c>
      <c r="F132" s="156"/>
      <c r="G132" s="156"/>
      <c r="H132" s="157"/>
      <c r="I132" s="156"/>
      <c r="J132" s="156"/>
      <c r="K132" s="157" t="s">
        <v>311</v>
      </c>
      <c r="L132" s="157"/>
      <c r="M132" s="157" t="s">
        <v>30</v>
      </c>
      <c r="T132" s="158"/>
      <c r="U132" s="145"/>
      <c r="V132" s="145"/>
      <c r="W132" s="145"/>
      <c r="X132" s="145"/>
      <c r="Y132" s="145"/>
      <c r="Z132" s="145"/>
    </row>
    <row r="133" spans="1:26" x14ac:dyDescent="0.25">
      <c r="A133" s="18">
        <v>1</v>
      </c>
      <c r="B133" s="25">
        <v>21</v>
      </c>
      <c r="C133" s="25">
        <v>20</v>
      </c>
      <c r="D133" s="3">
        <v>26</v>
      </c>
      <c r="E133" s="59">
        <v>34.9</v>
      </c>
      <c r="F133" s="3" t="s">
        <v>171</v>
      </c>
      <c r="G133" s="59">
        <v>312.60000000000002</v>
      </c>
      <c r="H133" s="59">
        <v>359.5</v>
      </c>
      <c r="I133" s="59">
        <v>5.0999999999999996</v>
      </c>
      <c r="J133" s="33">
        <f>IF(OR(G133="",H133="",I133=""),"",(H133-G133)/I133)</f>
        <v>9.1960784313725448</v>
      </c>
      <c r="K133" s="30">
        <f t="shared" ref="K133:K138" si="7">IF(OR(G133="",I133="",$J$136=""),"",(J133-$J$136)/$J$136*100)</f>
        <v>21.818181818181749</v>
      </c>
      <c r="L133" s="492" t="str">
        <f>IF(G133="","",IF(K133&lt;0,"IKKE OK","OK"))</f>
        <v>OK</v>
      </c>
      <c r="M133" s="276" t="s">
        <v>110</v>
      </c>
      <c r="T133" s="43"/>
      <c r="U133" s="47"/>
      <c r="V133" s="242"/>
      <c r="W133" s="242"/>
      <c r="X133" s="242"/>
      <c r="Y133" s="47"/>
      <c r="Z133" s="145"/>
    </row>
    <row r="134" spans="1:26" x14ac:dyDescent="0.25">
      <c r="A134" s="113">
        <v>2</v>
      </c>
      <c r="B134" s="26">
        <v>32</v>
      </c>
      <c r="C134" s="26">
        <v>30</v>
      </c>
      <c r="D134" s="5">
        <v>27</v>
      </c>
      <c r="E134" s="56">
        <v>51.4</v>
      </c>
      <c r="F134" s="5" t="s">
        <v>171</v>
      </c>
      <c r="G134" s="56">
        <v>314.5</v>
      </c>
      <c r="H134" s="56">
        <v>358.2</v>
      </c>
      <c r="I134" s="56">
        <v>4.9000000000000004</v>
      </c>
      <c r="J134" s="35">
        <f t="shared" ref="J134:J138" si="8">IF(OR(G134="",H134="",I134=""),"",(H134-G134)/I134)</f>
        <v>8.9183673469387728</v>
      </c>
      <c r="K134" s="31">
        <f t="shared" si="7"/>
        <v>18.139411608799318</v>
      </c>
      <c r="L134" s="495" t="str">
        <f>IF(G134="","",IF(K134&lt;0,"IKKE OK","OK"))</f>
        <v>OK</v>
      </c>
      <c r="M134" s="35" t="s">
        <v>110</v>
      </c>
      <c r="T134" s="43"/>
      <c r="U134" s="47"/>
      <c r="V134" s="242"/>
      <c r="W134" s="242"/>
      <c r="X134" s="242"/>
      <c r="Y134" s="47"/>
      <c r="Z134" s="145"/>
    </row>
    <row r="135" spans="1:26" x14ac:dyDescent="0.25">
      <c r="A135" s="113">
        <v>3</v>
      </c>
      <c r="B135" s="26">
        <v>45</v>
      </c>
      <c r="C135" s="26">
        <v>40</v>
      </c>
      <c r="D135" s="5">
        <v>28</v>
      </c>
      <c r="E135" s="56">
        <v>75.400000000000006</v>
      </c>
      <c r="F135" s="5" t="s">
        <v>171</v>
      </c>
      <c r="G135" s="56">
        <v>317.7</v>
      </c>
      <c r="H135" s="56">
        <v>358.3</v>
      </c>
      <c r="I135" s="56">
        <v>5</v>
      </c>
      <c r="J135" s="35">
        <f t="shared" si="8"/>
        <v>8.1200000000000045</v>
      </c>
      <c r="K135" s="31">
        <f t="shared" si="7"/>
        <v>7.5636363636364141</v>
      </c>
      <c r="L135" s="495" t="str">
        <f t="shared" ref="L135:L136" si="9">IF(G135="","",IF(K135&lt;0,"IKKE OK","OK"))</f>
        <v>OK</v>
      </c>
      <c r="M135" s="35" t="s">
        <v>110</v>
      </c>
      <c r="S135" s="581"/>
      <c r="T135" s="43"/>
      <c r="U135" s="47"/>
      <c r="V135" s="242"/>
      <c r="W135" s="242"/>
      <c r="X135" s="242"/>
      <c r="Y135" s="47"/>
      <c r="Z135" s="145"/>
    </row>
    <row r="136" spans="1:26" x14ac:dyDescent="0.25">
      <c r="A136" s="113">
        <v>4</v>
      </c>
      <c r="B136" s="26">
        <v>53</v>
      </c>
      <c r="C136" s="26">
        <v>45</v>
      </c>
      <c r="D136" s="5">
        <v>29</v>
      </c>
      <c r="E136" s="56">
        <v>89.1</v>
      </c>
      <c r="F136" s="5" t="s">
        <v>171</v>
      </c>
      <c r="G136" s="56">
        <v>320.10000000000002</v>
      </c>
      <c r="H136" s="56">
        <v>358.6</v>
      </c>
      <c r="I136" s="56">
        <v>5.0999999999999996</v>
      </c>
      <c r="J136" s="35">
        <f t="shared" si="8"/>
        <v>7.549019607843138</v>
      </c>
      <c r="K136" s="284">
        <f t="shared" si="7"/>
        <v>0</v>
      </c>
      <c r="L136" s="495" t="str">
        <f t="shared" si="9"/>
        <v>OK</v>
      </c>
      <c r="M136" s="429" t="s">
        <v>111</v>
      </c>
      <c r="T136" s="43"/>
      <c r="U136" s="47"/>
      <c r="V136" s="242"/>
      <c r="W136" s="242"/>
      <c r="X136" s="242"/>
      <c r="Y136" s="47"/>
      <c r="Z136" s="145"/>
    </row>
    <row r="137" spans="1:26" x14ac:dyDescent="0.25">
      <c r="A137" s="113">
        <v>5</v>
      </c>
      <c r="B137" s="26">
        <v>60</v>
      </c>
      <c r="C137" s="26">
        <v>50</v>
      </c>
      <c r="D137" s="5">
        <v>30</v>
      </c>
      <c r="E137" s="56">
        <v>97</v>
      </c>
      <c r="F137" s="5" t="s">
        <v>171</v>
      </c>
      <c r="G137" s="56">
        <v>325</v>
      </c>
      <c r="H137" s="56">
        <v>360.3</v>
      </c>
      <c r="I137" s="56">
        <v>5.0999999999999996</v>
      </c>
      <c r="J137" s="35">
        <f t="shared" si="8"/>
        <v>6.9215686274509833</v>
      </c>
      <c r="K137" s="31">
        <f t="shared" si="7"/>
        <v>-8.3116883116882807</v>
      </c>
      <c r="L137" s="495" t="str">
        <f>IF(G137="","",IF(K137&lt;-15,"IKKE OK","OK"))</f>
        <v>OK</v>
      </c>
      <c r="M137" s="35" t="s">
        <v>112</v>
      </c>
      <c r="T137" s="43"/>
      <c r="U137" s="47"/>
      <c r="V137" s="242"/>
      <c r="W137" s="242"/>
      <c r="X137" s="242"/>
      <c r="Y137" s="47"/>
      <c r="Z137" s="145"/>
    </row>
    <row r="138" spans="1:26" x14ac:dyDescent="0.25">
      <c r="A138" s="121">
        <v>6</v>
      </c>
      <c r="B138" s="27">
        <v>75</v>
      </c>
      <c r="C138" s="27">
        <v>60</v>
      </c>
      <c r="D138" s="7">
        <v>31</v>
      </c>
      <c r="E138" s="58">
        <v>138.19999999999999</v>
      </c>
      <c r="F138" s="7" t="s">
        <v>171</v>
      </c>
      <c r="G138" s="58">
        <v>331</v>
      </c>
      <c r="H138" s="58">
        <v>363.3</v>
      </c>
      <c r="I138" s="58">
        <v>5.2</v>
      </c>
      <c r="J138" s="37">
        <f t="shared" si="8"/>
        <v>6.2115384615384635</v>
      </c>
      <c r="K138" s="32">
        <f t="shared" si="7"/>
        <v>-17.7172827172827</v>
      </c>
      <c r="L138" s="494" t="str">
        <f>IF(G138="","",IF(K138&lt;-30,"IKKE OK","OK"))</f>
        <v>OK</v>
      </c>
      <c r="M138" s="37" t="s">
        <v>113</v>
      </c>
      <c r="T138" s="43"/>
      <c r="U138" s="47"/>
      <c r="V138" s="242"/>
      <c r="W138" s="242"/>
      <c r="X138" s="242"/>
      <c r="Y138" s="47"/>
      <c r="Z138" s="145"/>
    </row>
    <row r="139" spans="1:26" x14ac:dyDescent="0.25">
      <c r="A139" s="43"/>
      <c r="B139" s="43"/>
      <c r="C139" s="43"/>
      <c r="D139" s="47"/>
      <c r="E139" s="242"/>
      <c r="F139" s="44"/>
      <c r="G139" s="45"/>
      <c r="H139" s="43"/>
      <c r="I139" s="242"/>
      <c r="J139" s="245"/>
      <c r="K139" s="44"/>
      <c r="L139" s="45"/>
      <c r="M139" s="43"/>
      <c r="N139" s="126"/>
      <c r="T139" s="145"/>
      <c r="U139" s="145"/>
      <c r="V139" s="145"/>
      <c r="W139" s="145"/>
      <c r="X139" s="145"/>
      <c r="Y139" s="145"/>
      <c r="Z139" s="145"/>
    </row>
    <row r="140" spans="1:26" x14ac:dyDescent="0.25">
      <c r="A140" s="43"/>
      <c r="B140" s="43"/>
      <c r="C140" s="43"/>
      <c r="D140" s="47"/>
      <c r="E140" s="242"/>
      <c r="F140" s="44"/>
      <c r="G140" s="45"/>
      <c r="H140" s="43"/>
      <c r="I140" s="242"/>
      <c r="J140" s="245"/>
      <c r="K140" s="44"/>
      <c r="L140" s="45"/>
      <c r="M140" s="43"/>
      <c r="N140" s="126"/>
    </row>
    <row r="141" spans="1:26" x14ac:dyDescent="0.25">
      <c r="A141" s="181" t="s">
        <v>457</v>
      </c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</row>
    <row r="143" spans="1:26" x14ac:dyDescent="0.25">
      <c r="A143" s="152" t="s">
        <v>5</v>
      </c>
      <c r="B143" s="152" t="s">
        <v>59</v>
      </c>
      <c r="C143" s="152" t="s">
        <v>25</v>
      </c>
      <c r="D143" s="538" t="s">
        <v>348</v>
      </c>
      <c r="E143" s="539" t="s">
        <v>347</v>
      </c>
      <c r="F143" s="153" t="s">
        <v>52</v>
      </c>
      <c r="G143" s="539" t="s">
        <v>21</v>
      </c>
      <c r="H143" s="539" t="s">
        <v>21</v>
      </c>
      <c r="I143" s="539" t="s">
        <v>22</v>
      </c>
      <c r="J143" s="539" t="s">
        <v>29</v>
      </c>
      <c r="K143" s="153" t="s">
        <v>377</v>
      </c>
      <c r="L143" s="153" t="s">
        <v>378</v>
      </c>
      <c r="M143" s="153" t="s">
        <v>0</v>
      </c>
    </row>
    <row r="144" spans="1:26" x14ac:dyDescent="0.25">
      <c r="A144" s="154"/>
      <c r="B144" s="154" t="s">
        <v>60</v>
      </c>
      <c r="C144" s="154"/>
      <c r="D144" s="154"/>
      <c r="E144" s="155"/>
      <c r="F144" s="155" t="s">
        <v>26</v>
      </c>
      <c r="G144" s="155" t="s">
        <v>28</v>
      </c>
      <c r="H144" s="155" t="s">
        <v>25</v>
      </c>
      <c r="I144" s="155" t="s">
        <v>25</v>
      </c>
      <c r="J144" s="155"/>
      <c r="K144" s="155" t="s">
        <v>351</v>
      </c>
      <c r="L144" s="155" t="s">
        <v>31</v>
      </c>
      <c r="M144" s="155"/>
    </row>
    <row r="145" spans="1:20" x14ac:dyDescent="0.25">
      <c r="A145" s="156"/>
      <c r="B145" s="154" t="s">
        <v>83</v>
      </c>
      <c r="C145" s="154" t="s">
        <v>83</v>
      </c>
      <c r="D145" s="156" t="s">
        <v>344</v>
      </c>
      <c r="E145" s="156" t="s">
        <v>332</v>
      </c>
      <c r="F145" s="156"/>
      <c r="G145" s="156"/>
      <c r="H145" s="157"/>
      <c r="I145" s="156"/>
      <c r="J145" s="156"/>
      <c r="K145" s="157"/>
      <c r="L145" s="157" t="s">
        <v>311</v>
      </c>
      <c r="M145" s="157"/>
      <c r="T145" s="246"/>
    </row>
    <row r="146" spans="1:20" x14ac:dyDescent="0.25">
      <c r="A146" s="18">
        <v>1</v>
      </c>
      <c r="B146" s="18">
        <v>53</v>
      </c>
      <c r="C146" s="25">
        <v>45</v>
      </c>
      <c r="D146" s="3">
        <v>29</v>
      </c>
      <c r="E146" s="59">
        <v>89.6</v>
      </c>
      <c r="F146" s="3" t="s">
        <v>171</v>
      </c>
      <c r="G146" s="59">
        <v>327.10000000000002</v>
      </c>
      <c r="H146" s="59">
        <v>367</v>
      </c>
      <c r="I146" s="59">
        <v>5.2</v>
      </c>
      <c r="J146" s="33">
        <f t="shared" ref="J146:J148" si="10">IF(OR(G146="",H146="",I146=""),"",(H146-G146)/I146)</f>
        <v>7.673076923076918</v>
      </c>
      <c r="K146" s="34">
        <f>IF(G146="","",AVERAGEA(J146:J148))</f>
        <v>7.9114177978883857</v>
      </c>
      <c r="L146" s="42">
        <f>IF(OR(G146="",G147="",G148=""),"",(MAX(ABS(J146-$K$146),ABS(J147-$K$146),ABS(J148-$K$146))/$K$146)*100)</f>
        <v>3.0126189881551015</v>
      </c>
      <c r="M146" s="492" t="str">
        <f>IF(OR(G146="",G147="",G148=""),"",IF(L146&gt;5,"IKKE OK","OK"))</f>
        <v>OK</v>
      </c>
      <c r="T146" s="229"/>
    </row>
    <row r="147" spans="1:20" x14ac:dyDescent="0.25">
      <c r="A147" s="113">
        <v>2</v>
      </c>
      <c r="B147" s="113">
        <v>53</v>
      </c>
      <c r="C147" s="26">
        <v>45</v>
      </c>
      <c r="D147" s="5">
        <v>29</v>
      </c>
      <c r="E147" s="56">
        <v>89.1</v>
      </c>
      <c r="F147" s="5" t="s">
        <v>171</v>
      </c>
      <c r="G147" s="56">
        <v>317.7</v>
      </c>
      <c r="H147" s="56">
        <v>358.3</v>
      </c>
      <c r="I147" s="56">
        <v>5</v>
      </c>
      <c r="J147" s="35">
        <f t="shared" si="10"/>
        <v>8.1200000000000045</v>
      </c>
      <c r="K147" s="247"/>
      <c r="L147" s="235"/>
      <c r="M147" s="247"/>
    </row>
    <row r="148" spans="1:20" x14ac:dyDescent="0.25">
      <c r="A148" s="121">
        <v>3</v>
      </c>
      <c r="B148" s="121">
        <v>53</v>
      </c>
      <c r="C148" s="27">
        <v>45</v>
      </c>
      <c r="D148" s="7">
        <v>29</v>
      </c>
      <c r="E148" s="58">
        <v>89.9</v>
      </c>
      <c r="F148" s="7" t="s">
        <v>171</v>
      </c>
      <c r="G148" s="58">
        <v>327.7</v>
      </c>
      <c r="H148" s="58">
        <v>368.2</v>
      </c>
      <c r="I148" s="58">
        <v>5.0999999999999996</v>
      </c>
      <c r="J148" s="37">
        <f t="shared" si="10"/>
        <v>7.9411764705882355</v>
      </c>
      <c r="K148" s="248"/>
      <c r="L148" s="236"/>
      <c r="M148" s="248"/>
    </row>
    <row r="149" spans="1:20" x14ac:dyDescent="0.25">
      <c r="A149" s="43"/>
      <c r="B149" s="43"/>
      <c r="C149" s="43"/>
      <c r="D149" s="47"/>
      <c r="E149" s="242"/>
      <c r="F149" s="44"/>
      <c r="G149" s="45"/>
      <c r="H149" s="43"/>
      <c r="I149" s="242"/>
      <c r="J149" s="245"/>
      <c r="K149" s="44"/>
      <c r="L149" s="45"/>
      <c r="M149" s="43"/>
      <c r="N149" s="126"/>
    </row>
    <row r="150" spans="1:20" x14ac:dyDescent="0.25">
      <c r="A150" s="43"/>
      <c r="B150" s="43"/>
      <c r="C150" s="43"/>
      <c r="D150" s="47"/>
      <c r="E150" s="242"/>
      <c r="F150" s="44"/>
      <c r="G150" s="45"/>
      <c r="H150" s="43"/>
      <c r="I150" s="242"/>
      <c r="J150" s="245"/>
      <c r="K150" s="44"/>
      <c r="L150" s="45"/>
      <c r="M150" s="43"/>
      <c r="N150" s="126"/>
    </row>
    <row r="151" spans="1:20" ht="18.75" x14ac:dyDescent="0.3">
      <c r="A151" s="116" t="s">
        <v>379</v>
      </c>
      <c r="B151" s="117"/>
      <c r="C151" s="117"/>
      <c r="D151" s="117"/>
      <c r="E151" s="117"/>
      <c r="F151" s="117"/>
      <c r="G151" s="117"/>
      <c r="H151" s="117"/>
      <c r="I151" s="117"/>
      <c r="J151" s="137"/>
      <c r="K151" s="137"/>
      <c r="L151" s="137"/>
      <c r="M151" s="137"/>
      <c r="N151" s="137"/>
      <c r="O151" s="137"/>
      <c r="P151" s="137"/>
      <c r="Q151" s="137"/>
      <c r="R151" s="137"/>
    </row>
    <row r="153" spans="1:20" x14ac:dyDescent="0.25">
      <c r="A153" s="150" t="s">
        <v>458</v>
      </c>
      <c r="B153" s="151"/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0" t="s">
        <v>421</v>
      </c>
      <c r="N153" s="151"/>
      <c r="O153" s="151"/>
      <c r="P153" s="151"/>
      <c r="Q153" s="151"/>
      <c r="R153" s="151"/>
    </row>
    <row r="154" spans="1:20" x14ac:dyDescent="0.25">
      <c r="A154" s="141" t="s">
        <v>307</v>
      </c>
      <c r="B154" s="119" t="s">
        <v>319</v>
      </c>
      <c r="C154" s="119"/>
      <c r="D154" s="230" t="s">
        <v>380</v>
      </c>
      <c r="E154" s="119"/>
      <c r="F154" s="119"/>
      <c r="G154" s="119"/>
      <c r="H154" s="119"/>
      <c r="I154" s="119"/>
      <c r="J154" s="119"/>
      <c r="K154" s="119"/>
      <c r="L154" s="119"/>
      <c r="M154" s="564"/>
      <c r="N154" s="565"/>
      <c r="O154" s="565"/>
      <c r="P154" s="565"/>
      <c r="Q154" s="565"/>
      <c r="R154" s="566"/>
    </row>
    <row r="155" spans="1:20" x14ac:dyDescent="0.25">
      <c r="A155" s="715" t="s">
        <v>560</v>
      </c>
      <c r="B155" s="715" t="s">
        <v>561</v>
      </c>
      <c r="C155" s="120"/>
      <c r="D155" s="706"/>
      <c r="E155" s="120"/>
      <c r="F155" s="120"/>
      <c r="G155" s="120"/>
      <c r="H155" s="120"/>
      <c r="I155" s="120"/>
      <c r="J155" s="120"/>
      <c r="K155" s="120"/>
      <c r="L155" s="120"/>
      <c r="M155" s="652"/>
      <c r="N155" s="653"/>
      <c r="O155" s="653"/>
      <c r="P155" s="653"/>
      <c r="Q155" s="653"/>
      <c r="R155" s="654"/>
    </row>
    <row r="156" spans="1:20" x14ac:dyDescent="0.25">
      <c r="A156" s="164" t="s">
        <v>308</v>
      </c>
      <c r="B156" s="120" t="s">
        <v>581</v>
      </c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561"/>
      <c r="N156" s="562"/>
      <c r="O156" s="562"/>
      <c r="P156" s="562"/>
      <c r="Q156" s="562"/>
      <c r="R156" s="563"/>
    </row>
    <row r="157" spans="1:20" x14ac:dyDescent="0.25">
      <c r="A157" s="164" t="s">
        <v>76</v>
      </c>
      <c r="B157" s="269" t="s">
        <v>609</v>
      </c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561"/>
      <c r="N157" s="562"/>
      <c r="O157" s="562"/>
      <c r="P157" s="562"/>
      <c r="Q157" s="562"/>
      <c r="R157" s="563"/>
    </row>
    <row r="158" spans="1:20" x14ac:dyDescent="0.25">
      <c r="A158" s="164"/>
      <c r="B158" s="624" t="s">
        <v>608</v>
      </c>
      <c r="C158" s="168"/>
      <c r="D158" s="120"/>
      <c r="E158" s="120"/>
      <c r="F158" s="120"/>
      <c r="G158" s="120"/>
      <c r="H158" s="120"/>
      <c r="I158" s="120"/>
      <c r="J158" s="120"/>
      <c r="K158" s="120"/>
      <c r="L158" s="120"/>
      <c r="M158" s="561"/>
      <c r="N158" s="562"/>
      <c r="O158" s="562"/>
      <c r="P158" s="562"/>
      <c r="Q158" s="562"/>
      <c r="R158" s="563"/>
    </row>
    <row r="159" spans="1:20" x14ac:dyDescent="0.25">
      <c r="A159" s="160" t="s">
        <v>100</v>
      </c>
      <c r="B159" s="626" t="s">
        <v>650</v>
      </c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567"/>
      <c r="N159" s="568"/>
      <c r="O159" s="568"/>
      <c r="P159" s="568"/>
      <c r="Q159" s="568"/>
      <c r="R159" s="569"/>
    </row>
    <row r="160" spans="1:20" x14ac:dyDescent="0.25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</row>
    <row r="161" spans="1:27" x14ac:dyDescent="0.25">
      <c r="A161" s="150" t="s">
        <v>459</v>
      </c>
      <c r="B161" s="151"/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</row>
    <row r="162" spans="1:27" x14ac:dyDescent="0.25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</row>
    <row r="163" spans="1:27" x14ac:dyDescent="0.25">
      <c r="A163" s="1" t="s">
        <v>171</v>
      </c>
      <c r="B163" s="170" t="s">
        <v>20</v>
      </c>
      <c r="C163" s="119"/>
      <c r="D163" s="119"/>
      <c r="E163" s="119"/>
      <c r="F163" s="119"/>
      <c r="G163" s="119"/>
      <c r="H163" s="119"/>
      <c r="I163" s="119"/>
      <c r="J163" s="143"/>
      <c r="K163" s="120"/>
      <c r="L163" s="120"/>
      <c r="M163" s="120"/>
      <c r="N163" s="120"/>
      <c r="O163" s="120"/>
      <c r="P163" s="120"/>
      <c r="Q163" s="120"/>
    </row>
    <row r="164" spans="1:27" x14ac:dyDescent="0.25">
      <c r="A164" s="2">
        <v>28</v>
      </c>
      <c r="B164" s="560" t="s">
        <v>531</v>
      </c>
      <c r="C164" s="122"/>
      <c r="D164" s="122"/>
      <c r="E164" s="122"/>
      <c r="F164" s="122"/>
      <c r="G164" s="122"/>
      <c r="H164" s="122"/>
      <c r="I164" s="122"/>
      <c r="J164" s="148"/>
      <c r="K164" s="120"/>
      <c r="L164" s="120"/>
      <c r="M164" s="120"/>
      <c r="N164" s="120"/>
      <c r="O164" s="120"/>
      <c r="P164" s="120"/>
      <c r="Q164" s="120"/>
    </row>
    <row r="165" spans="1:27" x14ac:dyDescent="0.25">
      <c r="A165" s="154" t="s">
        <v>5</v>
      </c>
      <c r="B165" s="154" t="s">
        <v>45</v>
      </c>
      <c r="C165" s="154" t="s">
        <v>27</v>
      </c>
      <c r="D165" s="533" t="s">
        <v>21</v>
      </c>
      <c r="E165" s="155" t="s">
        <v>42</v>
      </c>
      <c r="F165" s="155" t="s">
        <v>42</v>
      </c>
      <c r="G165" s="155" t="s">
        <v>0</v>
      </c>
      <c r="H165" s="155" t="s">
        <v>43</v>
      </c>
      <c r="I165" s="155" t="s">
        <v>43</v>
      </c>
      <c r="J165" s="185" t="s">
        <v>0</v>
      </c>
      <c r="K165" s="173"/>
      <c r="R165" s="165"/>
      <c r="S165" s="165"/>
      <c r="Z165" s="165"/>
    </row>
    <row r="166" spans="1:27" x14ac:dyDescent="0.25">
      <c r="A166" s="154"/>
      <c r="B166" s="154"/>
      <c r="C166" s="154"/>
      <c r="D166" s="155"/>
      <c r="E166" s="155"/>
      <c r="F166" s="155" t="s">
        <v>381</v>
      </c>
      <c r="G166" s="155"/>
      <c r="H166" s="155"/>
      <c r="I166" s="155" t="s">
        <v>381</v>
      </c>
      <c r="J166" s="185"/>
      <c r="K166" s="173"/>
      <c r="R166" s="165"/>
      <c r="S166" s="165"/>
      <c r="Z166" s="165"/>
      <c r="AA166" s="145"/>
    </row>
    <row r="167" spans="1:27" x14ac:dyDescent="0.25">
      <c r="A167" s="154"/>
      <c r="B167" s="154"/>
      <c r="C167" s="154"/>
      <c r="D167" s="155"/>
      <c r="E167" s="155" t="s">
        <v>31</v>
      </c>
      <c r="F167" s="155" t="s">
        <v>31</v>
      </c>
      <c r="G167" s="155"/>
      <c r="H167" s="155" t="s">
        <v>31</v>
      </c>
      <c r="I167" s="155" t="s">
        <v>31</v>
      </c>
      <c r="J167" s="185"/>
      <c r="K167" s="173"/>
      <c r="N167" s="120"/>
      <c r="R167" s="165"/>
      <c r="T167" s="581"/>
      <c r="Z167" s="43"/>
      <c r="AA167" s="158"/>
    </row>
    <row r="168" spans="1:27" x14ac:dyDescent="0.25">
      <c r="A168" s="156"/>
      <c r="B168" s="156"/>
      <c r="C168" s="156"/>
      <c r="D168" s="156"/>
      <c r="E168" s="157" t="s">
        <v>311</v>
      </c>
      <c r="F168" s="157" t="s">
        <v>311</v>
      </c>
      <c r="G168" s="686" t="s">
        <v>522</v>
      </c>
      <c r="H168" s="157" t="s">
        <v>311</v>
      </c>
      <c r="I168" s="157" t="s">
        <v>311</v>
      </c>
      <c r="J168" s="687" t="s">
        <v>523</v>
      </c>
      <c r="K168" s="191"/>
      <c r="R168" s="165"/>
      <c r="Z168" s="45"/>
      <c r="AA168" s="43"/>
    </row>
    <row r="169" spans="1:27" x14ac:dyDescent="0.25">
      <c r="A169" s="18">
        <v>1</v>
      </c>
      <c r="B169" s="25" t="s">
        <v>46</v>
      </c>
      <c r="C169" s="25" t="s">
        <v>33</v>
      </c>
      <c r="D169" s="56">
        <v>351</v>
      </c>
      <c r="E169" s="36">
        <f>IF(OR(D169=""),"",2*(MAX(D169:D171)-MIN(D169:D171))/(MAX(D169:D171)+MIN(D169:D171))*100)</f>
        <v>2.9707172160135804</v>
      </c>
      <c r="F169" s="34">
        <f>IF(OR(E169=""),"",MAX(E169,E172,E175))</f>
        <v>3.6151603498542206</v>
      </c>
      <c r="G169" s="492" t="str">
        <f>IF(F169="","",IF(F169&gt;5,"IKKE OK","OK"))</f>
        <v>OK</v>
      </c>
      <c r="H169" s="34">
        <f>IF(OR(D169="",$D$178=""),"",ABS(D169-$D$178)/$D$178*100)</f>
        <v>0.34071550255536309</v>
      </c>
      <c r="I169" s="34">
        <f>IF($D$178="","",MAX(H169:H177))</f>
        <v>4.3725156161271945</v>
      </c>
      <c r="J169" s="492" t="str">
        <f>IF($D$178="","",IF(I169&gt;10,"IKKE OK","OK"))</f>
        <v>OK</v>
      </c>
      <c r="K169" s="249"/>
      <c r="R169" s="250"/>
      <c r="T169" s="581"/>
      <c r="Z169" s="43"/>
      <c r="AA169" s="43"/>
    </row>
    <row r="170" spans="1:27" x14ac:dyDescent="0.25">
      <c r="A170" s="113">
        <v>2</v>
      </c>
      <c r="B170" s="26"/>
      <c r="C170" s="26" t="s">
        <v>34</v>
      </c>
      <c r="D170" s="56">
        <v>358.7</v>
      </c>
      <c r="E170" s="251"/>
      <c r="F170" s="235"/>
      <c r="G170" s="247"/>
      <c r="H170" s="36">
        <f t="shared" ref="H170:H178" si="11">IF(OR(D170="",$D$178=""),"",ABS(D170-$D$178)/$D$178*100)</f>
        <v>1.8455423055082341</v>
      </c>
      <c r="I170" s="252"/>
      <c r="J170" s="253"/>
      <c r="K170" s="164"/>
      <c r="R170" s="44"/>
      <c r="S170" s="126"/>
      <c r="T170" s="126"/>
      <c r="Z170" s="43"/>
      <c r="AA170" s="43"/>
    </row>
    <row r="171" spans="1:27" x14ac:dyDescent="0.25">
      <c r="A171" s="121">
        <v>3</v>
      </c>
      <c r="B171" s="27"/>
      <c r="C171" s="27" t="s">
        <v>35</v>
      </c>
      <c r="D171" s="58">
        <v>348.2</v>
      </c>
      <c r="E171" s="254"/>
      <c r="F171" s="236"/>
      <c r="G171" s="248"/>
      <c r="H171" s="36">
        <f t="shared" si="11"/>
        <v>1.1357183418512209</v>
      </c>
      <c r="I171" s="255"/>
      <c r="J171" s="256"/>
      <c r="K171" s="191"/>
      <c r="R171" s="44"/>
      <c r="S171" s="126"/>
      <c r="T171" s="126"/>
      <c r="Z171" s="43"/>
      <c r="AA171" s="43"/>
    </row>
    <row r="172" spans="1:27" x14ac:dyDescent="0.25">
      <c r="A172" s="113">
        <v>4</v>
      </c>
      <c r="B172" s="26" t="s">
        <v>48</v>
      </c>
      <c r="C172" s="26" t="s">
        <v>36</v>
      </c>
      <c r="D172" s="56">
        <v>349.7</v>
      </c>
      <c r="E172" s="36">
        <f>IF(OR(D172=""),"",2*(MAX(D172:D174)-MIN(D172:D174))/(MAX(D172:D174)+MIN(D172:D174))*100)</f>
        <v>3.1755032605613795</v>
      </c>
      <c r="F172" s="235"/>
      <c r="G172" s="247"/>
      <c r="H172" s="34">
        <f t="shared" si="11"/>
        <v>0.70982396365701306</v>
      </c>
      <c r="I172" s="252"/>
      <c r="J172" s="253"/>
      <c r="K172" s="191"/>
      <c r="R172" s="257"/>
      <c r="Z172" s="43"/>
      <c r="AA172" s="43"/>
    </row>
    <row r="173" spans="1:27" x14ac:dyDescent="0.25">
      <c r="A173" s="113">
        <v>5</v>
      </c>
      <c r="B173" s="26"/>
      <c r="C173" s="26" t="s">
        <v>37</v>
      </c>
      <c r="D173" s="56">
        <v>358.3</v>
      </c>
      <c r="E173" s="251"/>
      <c r="F173" s="235"/>
      <c r="G173" s="247"/>
      <c r="H173" s="36">
        <f t="shared" si="11"/>
        <v>1.7319704713231183</v>
      </c>
      <c r="I173" s="252"/>
      <c r="J173" s="253"/>
      <c r="K173" s="164"/>
      <c r="R173" s="44"/>
      <c r="Z173" s="43"/>
      <c r="AA173" s="43"/>
    </row>
    <row r="174" spans="1:27" x14ac:dyDescent="0.25">
      <c r="A174" s="121">
        <v>6</v>
      </c>
      <c r="B174" s="27"/>
      <c r="C174" s="27" t="s">
        <v>38</v>
      </c>
      <c r="D174" s="58">
        <v>347.1</v>
      </c>
      <c r="E174" s="254"/>
      <c r="F174" s="236"/>
      <c r="G174" s="248"/>
      <c r="H174" s="38">
        <f t="shared" si="11"/>
        <v>1.4480408858602971</v>
      </c>
      <c r="I174" s="255"/>
      <c r="J174" s="256"/>
      <c r="K174" s="191"/>
      <c r="R174" s="44"/>
      <c r="Z174" s="43"/>
      <c r="AA174" s="43"/>
    </row>
    <row r="175" spans="1:27" x14ac:dyDescent="0.25">
      <c r="A175" s="113">
        <v>7</v>
      </c>
      <c r="B175" s="26" t="s">
        <v>47</v>
      </c>
      <c r="C175" s="26" t="s">
        <v>39</v>
      </c>
      <c r="D175" s="56">
        <v>342.1</v>
      </c>
      <c r="E175" s="36">
        <f>IF(OR(D175=""),"",2*(MAX(D175:D177)-MIN(D175:D177))/(MAX(D175:D177)+MIN(D175:D177))*100)</f>
        <v>3.6151603498542206</v>
      </c>
      <c r="F175" s="235"/>
      <c r="G175" s="247"/>
      <c r="H175" s="36">
        <f t="shared" si="11"/>
        <v>2.8676888131743232</v>
      </c>
      <c r="I175" s="252"/>
      <c r="J175" s="253"/>
      <c r="K175" s="191"/>
      <c r="R175" s="44"/>
      <c r="Z175" s="43"/>
      <c r="AA175" s="43"/>
    </row>
    <row r="176" spans="1:27" x14ac:dyDescent="0.25">
      <c r="A176" s="113">
        <v>8</v>
      </c>
      <c r="B176" s="26"/>
      <c r="C176" s="26" t="s">
        <v>40</v>
      </c>
      <c r="D176" s="56">
        <v>349.2</v>
      </c>
      <c r="E176" s="251"/>
      <c r="F176" s="235"/>
      <c r="G176" s="247"/>
      <c r="H176" s="36">
        <f t="shared" si="11"/>
        <v>0.85178875638841567</v>
      </c>
      <c r="I176" s="252"/>
      <c r="J176" s="253"/>
      <c r="K176" s="164"/>
      <c r="R176" s="44"/>
      <c r="Z176" s="43"/>
      <c r="AA176" s="43"/>
    </row>
    <row r="177" spans="1:27" x14ac:dyDescent="0.25">
      <c r="A177" s="121">
        <v>9</v>
      </c>
      <c r="B177" s="27"/>
      <c r="C177" s="27" t="s">
        <v>41</v>
      </c>
      <c r="D177" s="58">
        <v>336.8</v>
      </c>
      <c r="E177" s="254"/>
      <c r="F177" s="236"/>
      <c r="G177" s="248"/>
      <c r="H177" s="38">
        <f t="shared" si="11"/>
        <v>4.3725156161271945</v>
      </c>
      <c r="I177" s="255"/>
      <c r="J177" s="256"/>
      <c r="K177" s="191"/>
      <c r="R177" s="44"/>
      <c r="Z177" s="43"/>
      <c r="AA177" s="43"/>
    </row>
    <row r="178" spans="1:27" x14ac:dyDescent="0.25">
      <c r="A178" s="121">
        <v>10</v>
      </c>
      <c r="B178" s="27" t="s">
        <v>43</v>
      </c>
      <c r="C178" s="27" t="s">
        <v>44</v>
      </c>
      <c r="D178" s="60">
        <v>352.2</v>
      </c>
      <c r="E178" s="254"/>
      <c r="F178" s="236"/>
      <c r="G178" s="248"/>
      <c r="H178" s="75">
        <f t="shared" si="11"/>
        <v>0</v>
      </c>
      <c r="I178" s="255"/>
      <c r="J178" s="256"/>
      <c r="K178" s="191"/>
      <c r="R178" s="44"/>
      <c r="Z178" s="145"/>
      <c r="AA178" s="145"/>
    </row>
    <row r="181" spans="1:27" x14ac:dyDescent="0.25">
      <c r="A181" s="150" t="s">
        <v>543</v>
      </c>
      <c r="B181" s="151"/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</row>
    <row r="183" spans="1:27" x14ac:dyDescent="0.25">
      <c r="A183" s="94" t="s">
        <v>315</v>
      </c>
    </row>
    <row r="184" spans="1:27" x14ac:dyDescent="0.25">
      <c r="C184" s="229" t="s">
        <v>106</v>
      </c>
      <c r="D184" s="94" t="s">
        <v>306</v>
      </c>
    </row>
    <row r="185" spans="1:27" x14ac:dyDescent="0.25">
      <c r="A185" s="182" t="s">
        <v>328</v>
      </c>
      <c r="B185" s="143"/>
      <c r="C185" s="3" t="s">
        <v>159</v>
      </c>
      <c r="D185" s="767"/>
      <c r="E185" s="768"/>
      <c r="F185" s="768"/>
      <c r="G185" s="768"/>
      <c r="H185" s="768"/>
      <c r="I185" s="768"/>
      <c r="J185" s="768"/>
      <c r="K185" s="768"/>
      <c r="L185" s="768"/>
      <c r="M185" s="768"/>
      <c r="N185" s="768"/>
      <c r="O185" s="768"/>
      <c r="P185" s="768"/>
      <c r="Q185" s="768"/>
      <c r="R185" s="769"/>
    </row>
    <row r="186" spans="1:27" x14ac:dyDescent="0.25">
      <c r="A186" s="183"/>
      <c r="B186" s="148"/>
      <c r="C186" s="121" t="str">
        <f>IF(C185="","",IF(C185="ja","IKKE OK","OK"))</f>
        <v>OK</v>
      </c>
      <c r="D186" s="764"/>
      <c r="E186" s="765"/>
      <c r="F186" s="765"/>
      <c r="G186" s="765"/>
      <c r="H186" s="765"/>
      <c r="I186" s="765"/>
      <c r="J186" s="765"/>
      <c r="K186" s="765"/>
      <c r="L186" s="765"/>
      <c r="M186" s="765"/>
      <c r="N186" s="765"/>
      <c r="O186" s="765"/>
      <c r="P186" s="765"/>
      <c r="Q186" s="765"/>
      <c r="R186" s="766"/>
    </row>
    <row r="187" spans="1:27" x14ac:dyDescent="0.25">
      <c r="A187" s="182" t="s">
        <v>316</v>
      </c>
      <c r="B187" s="143"/>
      <c r="C187" s="3" t="s">
        <v>159</v>
      </c>
      <c r="D187" s="767"/>
      <c r="E187" s="768"/>
      <c r="F187" s="768"/>
      <c r="G187" s="768"/>
      <c r="H187" s="768"/>
      <c r="I187" s="768"/>
      <c r="J187" s="768"/>
      <c r="K187" s="768"/>
      <c r="L187" s="768"/>
      <c r="M187" s="768"/>
      <c r="N187" s="768"/>
      <c r="O187" s="768"/>
      <c r="P187" s="768"/>
      <c r="Q187" s="768"/>
      <c r="R187" s="769"/>
    </row>
    <row r="188" spans="1:27" x14ac:dyDescent="0.25">
      <c r="A188" s="183"/>
      <c r="B188" s="148"/>
      <c r="C188" s="121" t="str">
        <f>IF(C187="","",IF(C187="ja","IKKE OK","OK"))</f>
        <v>OK</v>
      </c>
      <c r="D188" s="764"/>
      <c r="E188" s="765"/>
      <c r="F188" s="765"/>
      <c r="G188" s="765"/>
      <c r="H188" s="765"/>
      <c r="I188" s="765"/>
      <c r="J188" s="765"/>
      <c r="K188" s="765"/>
      <c r="L188" s="765"/>
      <c r="M188" s="765"/>
      <c r="N188" s="765"/>
      <c r="O188" s="765"/>
      <c r="P188" s="765"/>
      <c r="Q188" s="765"/>
      <c r="R188" s="766"/>
    </row>
    <row r="189" spans="1:27" x14ac:dyDescent="0.25">
      <c r="A189" s="94" t="s">
        <v>317</v>
      </c>
    </row>
    <row r="192" spans="1:27" ht="18.75" x14ac:dyDescent="0.3">
      <c r="A192" s="116" t="s">
        <v>258</v>
      </c>
      <c r="B192" s="117"/>
      <c r="C192" s="117"/>
      <c r="D192" s="117"/>
      <c r="E192" s="117"/>
      <c r="F192" s="117"/>
      <c r="G192" s="117"/>
      <c r="H192" s="117"/>
      <c r="I192" s="117"/>
      <c r="J192" s="137"/>
      <c r="K192" s="137"/>
      <c r="L192" s="137"/>
      <c r="M192" s="137"/>
      <c r="N192" s="137"/>
      <c r="O192" s="137"/>
      <c r="P192" s="137"/>
      <c r="Q192" s="137"/>
      <c r="R192" s="137"/>
    </row>
    <row r="194" spans="1:20" x14ac:dyDescent="0.25">
      <c r="A194" s="150" t="s">
        <v>460</v>
      </c>
      <c r="B194" s="151"/>
      <c r="C194" s="151"/>
      <c r="D194" s="151"/>
      <c r="E194" s="151"/>
      <c r="F194" s="151"/>
      <c r="G194" s="151"/>
      <c r="H194" s="151"/>
      <c r="I194" s="151"/>
      <c r="J194" s="151"/>
      <c r="K194" s="151"/>
      <c r="L194" s="151"/>
      <c r="M194" s="150" t="s">
        <v>421</v>
      </c>
      <c r="N194" s="151"/>
      <c r="O194" s="151"/>
      <c r="P194" s="151"/>
      <c r="Q194" s="151"/>
      <c r="R194" s="151"/>
    </row>
    <row r="195" spans="1:20" x14ac:dyDescent="0.25">
      <c r="A195" s="141" t="s">
        <v>307</v>
      </c>
      <c r="B195" s="119" t="s">
        <v>65</v>
      </c>
      <c r="C195" s="119"/>
      <c r="D195" s="230" t="s">
        <v>375</v>
      </c>
      <c r="E195" s="119"/>
      <c r="F195" s="119"/>
      <c r="G195" s="119"/>
      <c r="H195" s="119"/>
      <c r="I195" s="119"/>
      <c r="J195" s="119"/>
      <c r="K195" s="119"/>
      <c r="L195" s="119"/>
      <c r="M195" s="564"/>
      <c r="N195" s="565"/>
      <c r="O195" s="565"/>
      <c r="P195" s="565"/>
      <c r="Q195" s="565"/>
      <c r="R195" s="566"/>
    </row>
    <row r="196" spans="1:20" x14ac:dyDescent="0.25">
      <c r="A196" s="713" t="s">
        <v>560</v>
      </c>
      <c r="B196" s="713" t="s">
        <v>561</v>
      </c>
      <c r="C196" s="120"/>
      <c r="D196" s="706"/>
      <c r="E196" s="120"/>
      <c r="F196" s="120"/>
      <c r="G196" s="120"/>
      <c r="H196" s="120"/>
      <c r="I196" s="120"/>
      <c r="J196" s="120"/>
      <c r="K196" s="120"/>
      <c r="L196" s="120"/>
      <c r="M196" s="652"/>
      <c r="N196" s="653"/>
      <c r="O196" s="653"/>
      <c r="P196" s="653"/>
      <c r="Q196" s="653"/>
      <c r="R196" s="654"/>
    </row>
    <row r="197" spans="1:20" x14ac:dyDescent="0.25">
      <c r="A197" s="164" t="s">
        <v>308</v>
      </c>
      <c r="B197" s="120" t="s">
        <v>530</v>
      </c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561"/>
      <c r="N197" s="562"/>
      <c r="O197" s="562"/>
      <c r="P197" s="562"/>
      <c r="Q197" s="562"/>
      <c r="R197" s="563"/>
    </row>
    <row r="198" spans="1:20" x14ac:dyDescent="0.25">
      <c r="A198" s="164" t="s">
        <v>76</v>
      </c>
      <c r="B198" s="120" t="s">
        <v>275</v>
      </c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561"/>
      <c r="N198" s="562"/>
      <c r="O198" s="562"/>
      <c r="P198" s="562"/>
      <c r="Q198" s="562"/>
      <c r="R198" s="563"/>
    </row>
    <row r="199" spans="1:20" x14ac:dyDescent="0.25">
      <c r="A199" s="164"/>
      <c r="B199" s="120" t="s">
        <v>524</v>
      </c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561"/>
      <c r="N199" s="562"/>
      <c r="O199" s="562"/>
      <c r="P199" s="562"/>
      <c r="Q199" s="562"/>
      <c r="R199" s="563"/>
    </row>
    <row r="200" spans="1:20" x14ac:dyDescent="0.25">
      <c r="A200" s="164"/>
      <c r="B200" s="120" t="s">
        <v>525</v>
      </c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561"/>
      <c r="N200" s="562"/>
      <c r="O200" s="562"/>
      <c r="P200" s="562"/>
      <c r="Q200" s="562"/>
      <c r="R200" s="563"/>
    </row>
    <row r="201" spans="1:20" x14ac:dyDescent="0.25">
      <c r="A201" s="164"/>
      <c r="B201" s="120" t="s">
        <v>276</v>
      </c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571"/>
      <c r="N201" s="572"/>
      <c r="O201" s="572"/>
      <c r="P201" s="572"/>
      <c r="Q201" s="572"/>
      <c r="R201" s="573"/>
    </row>
    <row r="202" spans="1:20" x14ac:dyDescent="0.25">
      <c r="A202" s="164"/>
      <c r="B202" s="114" t="s">
        <v>660</v>
      </c>
      <c r="C202" s="114"/>
      <c r="D202" s="114"/>
      <c r="E202" s="114"/>
      <c r="F202" s="114"/>
      <c r="G202" s="114"/>
      <c r="H202" s="120"/>
      <c r="I202" s="120"/>
      <c r="J202" s="120"/>
      <c r="K202" s="120"/>
      <c r="L202" s="120"/>
      <c r="M202" s="571"/>
      <c r="N202" s="572"/>
      <c r="O202" s="572"/>
      <c r="P202" s="572"/>
      <c r="Q202" s="572"/>
      <c r="R202" s="573"/>
    </row>
    <row r="203" spans="1:20" x14ac:dyDescent="0.25">
      <c r="A203" s="164"/>
      <c r="B203" s="114" t="s">
        <v>661</v>
      </c>
      <c r="C203" s="114"/>
      <c r="D203" s="114"/>
      <c r="E203" s="114"/>
      <c r="F203" s="114"/>
      <c r="G203" s="114"/>
      <c r="H203" s="120"/>
      <c r="I203" s="120"/>
      <c r="J203" s="120"/>
      <c r="K203" s="120"/>
      <c r="L203" s="120"/>
      <c r="M203" s="571"/>
      <c r="N203" s="572"/>
      <c r="O203" s="572"/>
      <c r="P203" s="572"/>
      <c r="Q203" s="572"/>
      <c r="R203" s="573"/>
    </row>
    <row r="204" spans="1:20" x14ac:dyDescent="0.25">
      <c r="A204" s="164"/>
      <c r="B204" s="114" t="s">
        <v>580</v>
      </c>
      <c r="C204" s="114"/>
      <c r="D204" s="114"/>
      <c r="E204" s="114"/>
      <c r="F204" s="114"/>
      <c r="G204" s="114"/>
      <c r="H204" s="120"/>
      <c r="I204" s="120"/>
      <c r="J204" s="120"/>
      <c r="K204" s="120"/>
      <c r="L204" s="120"/>
      <c r="M204" s="571"/>
      <c r="N204" s="572"/>
      <c r="O204" s="572"/>
      <c r="P204" s="572"/>
      <c r="Q204" s="572"/>
      <c r="R204" s="573"/>
    </row>
    <row r="205" spans="1:20" x14ac:dyDescent="0.25">
      <c r="A205" s="164"/>
      <c r="B205" s="114" t="s">
        <v>659</v>
      </c>
      <c r="C205" s="114"/>
      <c r="D205" s="114"/>
      <c r="E205" s="114"/>
      <c r="F205" s="114"/>
      <c r="G205" s="114"/>
      <c r="H205" s="120"/>
      <c r="I205" s="120"/>
      <c r="J205" s="120"/>
      <c r="K205" s="120"/>
      <c r="L205" s="120"/>
      <c r="M205" s="571"/>
      <c r="N205" s="572"/>
      <c r="O205" s="572"/>
      <c r="P205" s="572"/>
      <c r="Q205" s="572"/>
      <c r="R205" s="573"/>
    </row>
    <row r="206" spans="1:20" x14ac:dyDescent="0.25">
      <c r="A206" s="160" t="s">
        <v>100</v>
      </c>
      <c r="B206" s="122" t="s">
        <v>382</v>
      </c>
      <c r="C206" s="175"/>
      <c r="D206" s="122"/>
      <c r="E206" s="122"/>
      <c r="F206" s="122"/>
      <c r="G206" s="122"/>
      <c r="H206" s="122"/>
      <c r="I206" s="122"/>
      <c r="J206" s="122"/>
      <c r="K206" s="122"/>
      <c r="L206" s="122"/>
      <c r="M206" s="574"/>
      <c r="N206" s="543"/>
      <c r="O206" s="543"/>
      <c r="P206" s="543"/>
      <c r="Q206" s="543"/>
      <c r="R206" s="575"/>
      <c r="S206" s="126"/>
      <c r="T206" s="126"/>
    </row>
    <row r="207" spans="1:20" x14ac:dyDescent="0.25">
      <c r="A207" s="145"/>
      <c r="C207" s="169"/>
      <c r="S207" s="126"/>
      <c r="T207" s="126"/>
    </row>
    <row r="208" spans="1:20" x14ac:dyDescent="0.25">
      <c r="A208" s="150" t="s">
        <v>461</v>
      </c>
      <c r="B208" s="151"/>
      <c r="C208" s="151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  <c r="R208" s="151"/>
    </row>
    <row r="209" spans="1:18" x14ac:dyDescent="0.25">
      <c r="A209" s="145"/>
      <c r="C209" s="169"/>
    </row>
    <row r="210" spans="1:18" x14ac:dyDescent="0.25">
      <c r="A210" s="1" t="s">
        <v>171</v>
      </c>
      <c r="B210" s="559" t="s">
        <v>20</v>
      </c>
      <c r="C210" s="119"/>
      <c r="D210" s="119"/>
      <c r="E210" s="143"/>
      <c r="F210" s="145"/>
      <c r="G210" s="145"/>
      <c r="H210" s="145"/>
    </row>
    <row r="211" spans="1:18" x14ac:dyDescent="0.25">
      <c r="A211" s="9">
        <v>28</v>
      </c>
      <c r="B211" s="586" t="s">
        <v>531</v>
      </c>
      <c r="C211" s="120"/>
      <c r="D211" s="120"/>
      <c r="E211" s="146"/>
      <c r="F211" s="145"/>
      <c r="G211" s="145"/>
      <c r="H211" s="145"/>
    </row>
    <row r="212" spans="1:18" x14ac:dyDescent="0.25">
      <c r="A212" s="2">
        <v>11.8</v>
      </c>
      <c r="B212" s="560" t="s">
        <v>532</v>
      </c>
      <c r="C212" s="122"/>
      <c r="D212" s="122"/>
      <c r="E212" s="148"/>
      <c r="F212" s="145"/>
      <c r="G212" s="145"/>
      <c r="H212" s="145"/>
    </row>
    <row r="213" spans="1:18" x14ac:dyDescent="0.25">
      <c r="A213" s="154" t="s">
        <v>5</v>
      </c>
      <c r="B213" s="154" t="s">
        <v>27</v>
      </c>
      <c r="C213" s="533" t="s">
        <v>21</v>
      </c>
      <c r="D213" s="155" t="s">
        <v>66</v>
      </c>
      <c r="E213" s="185" t="s">
        <v>0</v>
      </c>
      <c r="F213" s="173"/>
      <c r="G213" s="165"/>
      <c r="H213" s="165"/>
    </row>
    <row r="214" spans="1:18" x14ac:dyDescent="0.25">
      <c r="A214" s="154"/>
      <c r="B214" s="154"/>
      <c r="C214" s="155"/>
      <c r="D214" s="155" t="s">
        <v>331</v>
      </c>
      <c r="E214" s="185"/>
      <c r="F214" s="173"/>
      <c r="G214" s="165"/>
      <c r="H214" s="165"/>
    </row>
    <row r="215" spans="1:18" x14ac:dyDescent="0.25">
      <c r="A215" s="156"/>
      <c r="B215" s="156"/>
      <c r="C215" s="156"/>
      <c r="D215" s="535" t="s">
        <v>241</v>
      </c>
      <c r="E215" s="186"/>
      <c r="F215" s="191"/>
      <c r="G215" s="165"/>
      <c r="H215" s="258"/>
    </row>
    <row r="216" spans="1:18" x14ac:dyDescent="0.25">
      <c r="A216" s="18">
        <v>1</v>
      </c>
      <c r="B216" s="25" t="s">
        <v>33</v>
      </c>
      <c r="C216" s="48">
        <v>401.3</v>
      </c>
      <c r="D216" s="33">
        <f>IF(OR(C216="",C217="",C218=""),"",ABS(C218-C217)/ABS(C216-C217))</f>
        <v>0.1683168316831668</v>
      </c>
      <c r="E216" s="492" t="str">
        <f>IF(D216="","",IF(D216&gt;0.3,"IKKE OK","OK"))</f>
        <v>OK</v>
      </c>
      <c r="F216" s="259"/>
      <c r="G216" s="242"/>
      <c r="H216" s="43"/>
    </row>
    <row r="217" spans="1:18" x14ac:dyDescent="0.25">
      <c r="A217" s="113">
        <v>2</v>
      </c>
      <c r="B217" s="26" t="s">
        <v>34</v>
      </c>
      <c r="C217" s="49">
        <v>391.2</v>
      </c>
      <c r="D217" s="166"/>
      <c r="E217" s="260"/>
      <c r="F217" s="249"/>
      <c r="G217" s="242"/>
      <c r="H217" s="43"/>
    </row>
    <row r="218" spans="1:18" x14ac:dyDescent="0.25">
      <c r="A218" s="121">
        <v>3</v>
      </c>
      <c r="B218" s="27" t="s">
        <v>35</v>
      </c>
      <c r="C218" s="50">
        <v>389.5</v>
      </c>
      <c r="D218" s="167"/>
      <c r="E218" s="261"/>
      <c r="F218" s="249"/>
      <c r="G218" s="242"/>
      <c r="H218" s="43"/>
    </row>
    <row r="221" spans="1:18" x14ac:dyDescent="0.25">
      <c r="A221" s="150" t="s">
        <v>383</v>
      </c>
      <c r="B221" s="151"/>
      <c r="C221" s="151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  <c r="R221" s="151"/>
    </row>
    <row r="222" spans="1:18" x14ac:dyDescent="0.25">
      <c r="A222" s="508"/>
      <c r="B222" s="509"/>
      <c r="C222" s="509"/>
      <c r="D222" s="509"/>
      <c r="E222" s="509"/>
      <c r="F222" s="509"/>
      <c r="G222" s="509"/>
      <c r="H222" s="509"/>
      <c r="I222" s="509"/>
      <c r="J222" s="509"/>
      <c r="K222" s="509"/>
      <c r="L222" s="509"/>
      <c r="M222" s="509"/>
      <c r="N222" s="509"/>
      <c r="O222" s="509"/>
      <c r="P222" s="509"/>
      <c r="Q222" s="565"/>
      <c r="R222" s="510"/>
    </row>
    <row r="223" spans="1:18" x14ac:dyDescent="0.25">
      <c r="A223" s="511"/>
      <c r="B223" s="512"/>
      <c r="C223" s="512"/>
      <c r="D223" s="512"/>
      <c r="E223" s="512"/>
      <c r="F223" s="512"/>
      <c r="G223" s="512"/>
      <c r="H223" s="512"/>
      <c r="I223" s="512"/>
      <c r="J223" s="512"/>
      <c r="K223" s="512"/>
      <c r="L223" s="512"/>
      <c r="M223" s="512"/>
      <c r="N223" s="512"/>
      <c r="O223" s="512"/>
      <c r="P223" s="512"/>
      <c r="Q223" s="562"/>
      <c r="R223" s="513"/>
    </row>
    <row r="224" spans="1:18" x14ac:dyDescent="0.25">
      <c r="A224" s="511"/>
      <c r="B224" s="512"/>
      <c r="C224" s="512"/>
      <c r="D224" s="512"/>
      <c r="E224" s="512"/>
      <c r="F224" s="512"/>
      <c r="G224" s="512"/>
      <c r="H224" s="512"/>
      <c r="I224" s="512"/>
      <c r="J224" s="512"/>
      <c r="K224" s="512"/>
      <c r="L224" s="512"/>
      <c r="M224" s="512"/>
      <c r="N224" s="512"/>
      <c r="O224" s="512"/>
      <c r="P224" s="512"/>
      <c r="Q224" s="562"/>
      <c r="R224" s="513"/>
    </row>
    <row r="225" spans="1:18" x14ac:dyDescent="0.25">
      <c r="A225" s="511"/>
      <c r="B225" s="512"/>
      <c r="C225" s="512"/>
      <c r="D225" s="512"/>
      <c r="E225" s="512"/>
      <c r="F225" s="512"/>
      <c r="G225" s="512"/>
      <c r="H225" s="512"/>
      <c r="I225" s="512"/>
      <c r="J225" s="512"/>
      <c r="K225" s="512"/>
      <c r="L225" s="512"/>
      <c r="M225" s="512"/>
      <c r="N225" s="512"/>
      <c r="O225" s="512"/>
      <c r="P225" s="512"/>
      <c r="Q225" s="562"/>
      <c r="R225" s="513"/>
    </row>
    <row r="226" spans="1:18" x14ac:dyDescent="0.25">
      <c r="A226" s="514"/>
      <c r="B226" s="515"/>
      <c r="C226" s="515"/>
      <c r="D226" s="515"/>
      <c r="E226" s="515"/>
      <c r="F226" s="515"/>
      <c r="G226" s="515"/>
      <c r="H226" s="515"/>
      <c r="I226" s="515"/>
      <c r="J226" s="515"/>
      <c r="K226" s="515"/>
      <c r="L226" s="515"/>
      <c r="M226" s="515"/>
      <c r="N226" s="515"/>
      <c r="O226" s="515"/>
      <c r="P226" s="515"/>
      <c r="Q226" s="568"/>
      <c r="R226" s="516"/>
    </row>
    <row r="229" spans="1:18" x14ac:dyDescent="0.25">
      <c r="C229" s="94" t="s">
        <v>239</v>
      </c>
    </row>
  </sheetData>
  <mergeCells count="4">
    <mergeCell ref="D185:R185"/>
    <mergeCell ref="D186:R186"/>
    <mergeCell ref="D187:R187"/>
    <mergeCell ref="D188:R188"/>
  </mergeCells>
  <conditionalFormatting sqref="I79">
    <cfRule type="cellIs" dxfId="58" priority="38" operator="equal">
      <formula>"OK"</formula>
    </cfRule>
    <cfRule type="cellIs" dxfId="57" priority="39" operator="equal">
      <formula>"IKKE OK"</formula>
    </cfRule>
  </conditionalFormatting>
  <conditionalFormatting sqref="L79">
    <cfRule type="cellIs" dxfId="56" priority="36" operator="equal">
      <formula>"OK"</formula>
    </cfRule>
    <cfRule type="cellIs" dxfId="55" priority="37" operator="equal">
      <formula>"IKKE OK"</formula>
    </cfRule>
  </conditionalFormatting>
  <conditionalFormatting sqref="L133:L138">
    <cfRule type="cellIs" dxfId="54" priority="34" operator="equal">
      <formula>"OK"</formula>
    </cfRule>
    <cfRule type="cellIs" dxfId="53" priority="35" operator="equal">
      <formula>"IKKE OK"</formula>
    </cfRule>
  </conditionalFormatting>
  <conditionalFormatting sqref="M146">
    <cfRule type="cellIs" dxfId="52" priority="32" operator="equal">
      <formula>"OK"</formula>
    </cfRule>
    <cfRule type="cellIs" dxfId="51" priority="33" operator="equal">
      <formula>"IKKE OK"</formula>
    </cfRule>
  </conditionalFormatting>
  <conditionalFormatting sqref="G169">
    <cfRule type="cellIs" dxfId="50" priority="30" operator="equal">
      <formula>"OK"</formula>
    </cfRule>
    <cfRule type="cellIs" dxfId="49" priority="31" operator="equal">
      <formula>"IKKE OK"</formula>
    </cfRule>
  </conditionalFormatting>
  <conditionalFormatting sqref="J169">
    <cfRule type="cellIs" dxfId="48" priority="28" operator="equal">
      <formula>"OK"</formula>
    </cfRule>
    <cfRule type="cellIs" dxfId="47" priority="29" operator="equal">
      <formula>"IKKE OK"</formula>
    </cfRule>
  </conditionalFormatting>
  <conditionalFormatting sqref="E216">
    <cfRule type="cellIs" dxfId="46" priority="26" operator="equal">
      <formula>"OK"</formula>
    </cfRule>
    <cfRule type="cellIs" dxfId="45" priority="27" operator="equal">
      <formula>"IKKE OK"</formula>
    </cfRule>
  </conditionalFormatting>
  <conditionalFormatting sqref="I43 L43">
    <cfRule type="cellIs" dxfId="44" priority="10" operator="equal">
      <formula>"IKKE OK"</formula>
    </cfRule>
    <cfRule type="cellIs" dxfId="43" priority="11" operator="equal">
      <formula>"OK"</formula>
    </cfRule>
  </conditionalFormatting>
  <conditionalFormatting sqref="C186">
    <cfRule type="cellIs" dxfId="42" priority="4" operator="equal">
      <formula>""</formula>
    </cfRule>
    <cfRule type="cellIs" dxfId="41" priority="5" operator="notEqual">
      <formula>"OK"</formula>
    </cfRule>
    <cfRule type="cellIs" dxfId="40" priority="6" operator="equal">
      <formula>"OK"</formula>
    </cfRule>
  </conditionalFormatting>
  <conditionalFormatting sqref="C188">
    <cfRule type="cellIs" dxfId="39" priority="1" operator="equal">
      <formula>""</formula>
    </cfRule>
    <cfRule type="cellIs" dxfId="38" priority="2" operator="notEqual">
      <formula>"OK"</formula>
    </cfRule>
    <cfRule type="cellIs" dxfId="37" priority="3" operator="equal">
      <formula>"OK"</formula>
    </cfRule>
  </conditionalFormatting>
  <pageMargins left="0.47244094488188981" right="0.31496062992125984" top="0.74803149606299213" bottom="0.74803149606299213" header="0.31496062992125984" footer="0.31496062992125984"/>
  <pageSetup paperSize="9" scale="80" orientation="landscape" r:id="rId1"/>
  <ignoredErrors>
    <ignoredError sqref="A3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Data!$G$76:$G$77</xm:f>
          </x14:formula1>
          <xm:sqref>C187 C185</xm:sqref>
        </x14:dataValidation>
        <x14:dataValidation type="list" allowBlank="1" showInputMessage="1" showErrorMessage="1">
          <x14:formula1>
            <xm:f>Data!$D$76:$D$89</xm:f>
          </x14:formula1>
          <xm:sqref>A36 A73 D133:D138 D146:D148 A164 A211</xm:sqref>
        </x14:dataValidation>
        <x14:dataValidation type="list" allowBlank="1" showInputMessage="1" showErrorMessage="1">
          <x14:formula1>
            <xm:f>Data!$A$76:$A$83</xm:f>
          </x14:formula1>
          <xm:sqref>A35 A72 F133:F138 F146:F148 A163 A210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0"/>
  <sheetViews>
    <sheetView topLeftCell="A22" workbookViewId="0">
      <selection activeCell="V43" sqref="V43"/>
    </sheetView>
  </sheetViews>
  <sheetFormatPr defaultColWidth="9.140625" defaultRowHeight="15" x14ac:dyDescent="0.25"/>
  <cols>
    <col min="1" max="1" width="11.140625" style="94" customWidth="1"/>
    <col min="2" max="9" width="9.140625" style="94"/>
    <col min="10" max="10" width="10.7109375" style="94" customWidth="1"/>
    <col min="11" max="12" width="9.140625" style="94"/>
    <col min="13" max="13" width="10.5703125" style="94" customWidth="1"/>
    <col min="14" max="22" width="9.140625" style="94"/>
    <col min="23" max="24" width="9.140625" style="94" customWidth="1"/>
    <col min="25" max="16384" width="9.140625" style="94"/>
  </cols>
  <sheetData>
    <row r="1" spans="1:21" x14ac:dyDescent="0.25">
      <c r="A1" s="89" t="s">
        <v>280</v>
      </c>
      <c r="B1" s="90"/>
      <c r="C1" s="90"/>
      <c r="D1" s="91" t="str">
        <f>IF(Oplysningsside!B9="","",Oplysningsside!B9)</f>
        <v>Region H</v>
      </c>
      <c r="E1" s="90"/>
      <c r="F1" s="90"/>
      <c r="G1" s="92" t="s">
        <v>281</v>
      </c>
      <c r="H1" s="90"/>
      <c r="I1" s="91" t="str">
        <f>IF(Oplysningsside!B23="","",Oplysningsside!B23)</f>
        <v>Modtagekontrol</v>
      </c>
      <c r="J1" s="90"/>
      <c r="K1" s="90"/>
      <c r="L1" s="90"/>
      <c r="M1" s="92" t="s">
        <v>282</v>
      </c>
      <c r="N1" s="90"/>
      <c r="O1" s="91" t="str">
        <f>IF(Oplysningsside!B22="","",Oplysningsside!B22)</f>
        <v>Siemens</v>
      </c>
      <c r="P1" s="90"/>
      <c r="Q1" s="90"/>
      <c r="R1" s="262"/>
      <c r="S1" s="263"/>
    </row>
    <row r="2" spans="1:21" x14ac:dyDescent="0.25">
      <c r="A2" s="95" t="s">
        <v>283</v>
      </c>
      <c r="B2" s="96"/>
      <c r="C2" s="96"/>
      <c r="D2" s="97" t="str">
        <f>IF(Oplysningsside!B10="","",Oplysningsside!B10)</f>
        <v>HGH Gentofte</v>
      </c>
      <c r="E2" s="96"/>
      <c r="F2" s="96"/>
      <c r="G2" s="98" t="s">
        <v>284</v>
      </c>
      <c r="H2" s="96"/>
      <c r="I2" s="97" t="str">
        <f>IF(Oplysningsside!B15="","",Oplysningsside!B15)</f>
        <v>Revelation</v>
      </c>
      <c r="J2" s="96"/>
      <c r="K2" s="96"/>
      <c r="L2" s="96"/>
      <c r="M2" s="98" t="s">
        <v>285</v>
      </c>
      <c r="N2" s="96"/>
      <c r="O2" s="97" t="str">
        <f>IF(Oplysningsside!B24="","",Oplysningsside!B24)</f>
        <v>01.01.2022</v>
      </c>
      <c r="P2" s="96"/>
      <c r="Q2" s="96"/>
      <c r="R2" s="264"/>
      <c r="S2" s="265"/>
    </row>
    <row r="3" spans="1:21" x14ac:dyDescent="0.25">
      <c r="A3" s="100" t="s">
        <v>286</v>
      </c>
      <c r="B3" s="96"/>
      <c r="C3" s="96"/>
      <c r="D3" s="97" t="str">
        <f>IF(Oplysningsside!B11="","",Oplysningsside!B11)</f>
        <v>Gentofte Screening</v>
      </c>
      <c r="E3" s="96"/>
      <c r="F3" s="96"/>
      <c r="G3" s="98" t="s">
        <v>287</v>
      </c>
      <c r="H3" s="96"/>
      <c r="I3" s="101">
        <f>IF(Oplysningsside!B16="","",Oplysningsside!B16)</f>
        <v>1234</v>
      </c>
      <c r="J3" s="96"/>
      <c r="K3" s="96"/>
      <c r="L3" s="96"/>
      <c r="M3" s="98" t="s">
        <v>288</v>
      </c>
      <c r="N3" s="96"/>
      <c r="O3" s="97" t="str">
        <f>IF(Oplysningsside!B26="","",Oplysningsside!B26)</f>
        <v>EA</v>
      </c>
      <c r="P3" s="96"/>
      <c r="Q3" s="96"/>
      <c r="R3" s="264"/>
      <c r="S3" s="265"/>
    </row>
    <row r="4" spans="1:21" x14ac:dyDescent="0.25">
      <c r="A4" s="95" t="s">
        <v>289</v>
      </c>
      <c r="B4" s="96"/>
      <c r="C4" s="96"/>
      <c r="D4" s="97" t="str">
        <f>IF(Oplysningsside!B12="","",Oplysningsside!B12)</f>
        <v>MAM 1</v>
      </c>
      <c r="E4" s="96"/>
      <c r="F4" s="96"/>
      <c r="G4" s="98" t="s">
        <v>290</v>
      </c>
      <c r="H4" s="96"/>
      <c r="I4" s="101">
        <f>IF(Oplysningsside!B17="","",Oplysningsside!B17)</f>
        <v>1234</v>
      </c>
      <c r="J4" s="96"/>
      <c r="K4" s="96"/>
      <c r="L4" s="96"/>
      <c r="M4" s="96" t="s">
        <v>291</v>
      </c>
      <c r="N4" s="96"/>
      <c r="O4" s="97" t="str">
        <f>IF(Oplysningsside!B25="","",Oplysningsside!B25)</f>
        <v>01.01.2022</v>
      </c>
      <c r="P4" s="96"/>
      <c r="Q4" s="96"/>
      <c r="R4" s="264"/>
      <c r="S4" s="265"/>
    </row>
    <row r="5" spans="1:21" x14ac:dyDescent="0.25">
      <c r="A5" s="102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266"/>
      <c r="S5" s="267"/>
    </row>
    <row r="7" spans="1:21" ht="26.25" x14ac:dyDescent="0.4">
      <c r="A7" s="133" t="s">
        <v>711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6" t="str">
        <f>IF(Oplysningsside!$B$23="","",Oplysningsside!$B$23)</f>
        <v>Modtagekontrol</v>
      </c>
      <c r="Q7" s="134"/>
      <c r="R7" s="135"/>
      <c r="S7" s="136" t="str">
        <f>IF(Oplysningsside!$B$24="","",Oplysningsside!$B$24)</f>
        <v>01.01.2022</v>
      </c>
      <c r="T7" s="126"/>
      <c r="U7" s="126"/>
    </row>
    <row r="8" spans="1:21" x14ac:dyDescent="0.25">
      <c r="R8" s="126"/>
      <c r="S8" s="126"/>
      <c r="T8" s="126"/>
      <c r="U8" s="126"/>
    </row>
    <row r="9" spans="1:21" ht="18.75" x14ac:dyDescent="0.3">
      <c r="A9" s="116" t="s">
        <v>259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26"/>
      <c r="U9" s="126"/>
    </row>
    <row r="10" spans="1:21" x14ac:dyDescent="0.25">
      <c r="R10" s="126"/>
      <c r="S10" s="126"/>
      <c r="T10" s="126"/>
      <c r="U10" s="126"/>
    </row>
    <row r="11" spans="1:21" x14ac:dyDescent="0.25">
      <c r="A11" s="150" t="s">
        <v>462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0" t="s">
        <v>421</v>
      </c>
      <c r="O11" s="151"/>
      <c r="P11" s="151"/>
      <c r="Q11" s="151"/>
      <c r="R11" s="151"/>
      <c r="S11" s="151"/>
      <c r="T11" s="145"/>
      <c r="U11" s="145"/>
    </row>
    <row r="12" spans="1:21" x14ac:dyDescent="0.25">
      <c r="A12" s="141" t="s">
        <v>307</v>
      </c>
      <c r="B12" s="119" t="s">
        <v>318</v>
      </c>
      <c r="C12" s="119"/>
      <c r="D12" s="230" t="s">
        <v>375</v>
      </c>
      <c r="E12" s="119"/>
      <c r="F12" s="119"/>
      <c r="G12" s="119"/>
      <c r="H12" s="119"/>
      <c r="I12" s="119"/>
      <c r="J12" s="119"/>
      <c r="K12" s="119"/>
      <c r="L12" s="119"/>
      <c r="M12" s="119"/>
      <c r="N12" s="564"/>
      <c r="O12" s="565"/>
      <c r="P12" s="565"/>
      <c r="Q12" s="565"/>
      <c r="R12" s="565"/>
      <c r="S12" s="566"/>
      <c r="T12" s="145"/>
      <c r="U12" s="145"/>
    </row>
    <row r="13" spans="1:21" x14ac:dyDescent="0.25">
      <c r="A13" s="713" t="s">
        <v>560</v>
      </c>
      <c r="B13" s="713" t="s">
        <v>561</v>
      </c>
      <c r="C13" s="120"/>
      <c r="D13" s="706"/>
      <c r="E13" s="120"/>
      <c r="F13" s="120"/>
      <c r="G13" s="120"/>
      <c r="H13" s="120"/>
      <c r="I13" s="120"/>
      <c r="J13" s="120"/>
      <c r="K13" s="120"/>
      <c r="L13" s="120"/>
      <c r="M13" s="120"/>
      <c r="N13" s="652"/>
      <c r="O13" s="653"/>
      <c r="P13" s="653"/>
      <c r="Q13" s="653"/>
      <c r="R13" s="653"/>
      <c r="S13" s="654"/>
      <c r="T13" s="145"/>
      <c r="U13" s="145"/>
    </row>
    <row r="14" spans="1:21" x14ac:dyDescent="0.25">
      <c r="A14" s="164" t="s">
        <v>308</v>
      </c>
      <c r="B14" s="120" t="s">
        <v>526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561"/>
      <c r="O14" s="562"/>
      <c r="P14" s="562"/>
      <c r="Q14" s="562"/>
      <c r="R14" s="562"/>
      <c r="S14" s="563"/>
      <c r="T14" s="145"/>
      <c r="U14" s="145"/>
    </row>
    <row r="15" spans="1:21" x14ac:dyDescent="0.25">
      <c r="A15" s="164" t="s">
        <v>76</v>
      </c>
      <c r="B15" s="94" t="s">
        <v>463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561"/>
      <c r="O15" s="562"/>
      <c r="P15" s="562"/>
      <c r="Q15" s="562"/>
      <c r="R15" s="562"/>
      <c r="S15" s="563"/>
      <c r="T15" s="145"/>
      <c r="U15" s="145"/>
    </row>
    <row r="16" spans="1:21" x14ac:dyDescent="0.25">
      <c r="A16" s="164"/>
      <c r="B16" s="94" t="s">
        <v>464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561"/>
      <c r="O16" s="562"/>
      <c r="P16" s="562"/>
      <c r="Q16" s="562"/>
      <c r="R16" s="562"/>
      <c r="S16" s="563"/>
      <c r="T16" s="145"/>
      <c r="U16" s="145"/>
    </row>
    <row r="17" spans="1:44" x14ac:dyDescent="0.25">
      <c r="A17" s="164"/>
      <c r="B17" s="269" t="s">
        <v>465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561"/>
      <c r="O17" s="562"/>
      <c r="P17" s="562"/>
      <c r="Q17" s="562"/>
      <c r="R17" s="562"/>
      <c r="S17" s="563"/>
      <c r="T17" s="145"/>
      <c r="U17" s="145"/>
    </row>
    <row r="18" spans="1:44" x14ac:dyDescent="0.25">
      <c r="A18" s="164"/>
      <c r="B18" s="94" t="s">
        <v>610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571"/>
      <c r="O18" s="572"/>
      <c r="P18" s="572"/>
      <c r="Q18" s="572"/>
      <c r="R18" s="572"/>
      <c r="S18" s="573"/>
      <c r="T18" s="145"/>
      <c r="U18" s="145"/>
    </row>
    <row r="19" spans="1:44" x14ac:dyDescent="0.25">
      <c r="A19" s="164"/>
      <c r="B19" s="120" t="s">
        <v>611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571"/>
      <c r="O19" s="572"/>
      <c r="P19" s="572"/>
      <c r="Q19" s="572"/>
      <c r="R19" s="572"/>
      <c r="S19" s="573"/>
      <c r="T19" s="145"/>
      <c r="U19" s="145"/>
    </row>
    <row r="20" spans="1:44" x14ac:dyDescent="0.25">
      <c r="A20" s="160" t="s">
        <v>100</v>
      </c>
      <c r="B20" s="270" t="s">
        <v>612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695"/>
      <c r="O20" s="543"/>
      <c r="P20" s="543"/>
      <c r="Q20" s="543"/>
      <c r="R20" s="543"/>
      <c r="S20" s="575"/>
      <c r="T20" s="145"/>
      <c r="U20" s="145"/>
    </row>
    <row r="21" spans="1:44" x14ac:dyDescent="0.25">
      <c r="A21" s="145"/>
      <c r="B21" s="271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45"/>
      <c r="S21" s="145"/>
      <c r="T21" s="145"/>
      <c r="U21" s="145"/>
    </row>
    <row r="22" spans="1:44" x14ac:dyDescent="0.25">
      <c r="A22" s="150" t="s">
        <v>466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242"/>
      <c r="AF22" s="47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</row>
    <row r="23" spans="1:44" x14ac:dyDescent="0.25">
      <c r="A23" s="145"/>
      <c r="B23" s="271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242"/>
      <c r="AF23" s="47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</row>
    <row r="24" spans="1:44" x14ac:dyDescent="0.25">
      <c r="A24" s="1" t="s">
        <v>171</v>
      </c>
      <c r="B24" s="559" t="s">
        <v>20</v>
      </c>
      <c r="C24" s="119"/>
      <c r="D24" s="119"/>
      <c r="E24" s="119"/>
      <c r="F24" s="119"/>
      <c r="G24" s="119"/>
      <c r="H24" s="119"/>
      <c r="I24" s="163"/>
      <c r="J24" s="119"/>
      <c r="K24" s="143"/>
      <c r="T24" s="126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242"/>
      <c r="AF24" s="47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</row>
    <row r="25" spans="1:44" x14ac:dyDescent="0.25">
      <c r="A25" s="9">
        <v>29</v>
      </c>
      <c r="B25" s="586" t="s">
        <v>531</v>
      </c>
      <c r="C25" s="120"/>
      <c r="D25" s="120"/>
      <c r="E25" s="120"/>
      <c r="F25" s="120"/>
      <c r="G25" s="120"/>
      <c r="H25" s="120"/>
      <c r="I25" s="120"/>
      <c r="J25" s="120"/>
      <c r="K25" s="146"/>
      <c r="T25" s="126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242"/>
      <c r="AF25" s="47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</row>
    <row r="26" spans="1:44" x14ac:dyDescent="0.25">
      <c r="A26" s="9">
        <v>30</v>
      </c>
      <c r="B26" s="600" t="s">
        <v>467</v>
      </c>
      <c r="C26" s="120"/>
      <c r="D26" s="120"/>
      <c r="E26" s="120"/>
      <c r="F26" s="120"/>
      <c r="G26" s="120"/>
      <c r="H26" s="120"/>
      <c r="I26" s="120"/>
      <c r="J26" s="120"/>
      <c r="K26" s="146"/>
      <c r="N26" s="581"/>
      <c r="T26" s="126"/>
      <c r="U26" s="145"/>
      <c r="V26" s="145"/>
      <c r="W26" s="145"/>
      <c r="X26" s="145"/>
      <c r="Y26" s="145"/>
      <c r="Z26" s="242"/>
      <c r="AA26" s="47"/>
      <c r="AB26" s="145"/>
      <c r="AC26" s="145"/>
      <c r="AD26" s="145"/>
      <c r="AE26" s="242"/>
      <c r="AF26" s="47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</row>
    <row r="27" spans="1:44" x14ac:dyDescent="0.25">
      <c r="A27" s="604">
        <v>40</v>
      </c>
      <c r="B27" s="600" t="s">
        <v>468</v>
      </c>
      <c r="C27" s="120"/>
      <c r="D27" s="120"/>
      <c r="E27" s="120"/>
      <c r="F27" s="120"/>
      <c r="G27" s="120"/>
      <c r="H27" s="120"/>
      <c r="I27" s="120"/>
      <c r="J27" s="120"/>
      <c r="K27" s="146"/>
      <c r="U27" s="145"/>
      <c r="V27" s="145"/>
      <c r="W27" s="145"/>
      <c r="X27" s="145"/>
      <c r="Y27" s="145"/>
      <c r="Z27" s="242"/>
      <c r="AA27" s="242"/>
      <c r="AB27" s="145"/>
      <c r="AC27" s="145"/>
      <c r="AD27" s="145"/>
      <c r="AE27" s="242"/>
      <c r="AF27" s="47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</row>
    <row r="28" spans="1:44" x14ac:dyDescent="0.25">
      <c r="A28" s="604" t="s">
        <v>216</v>
      </c>
      <c r="B28" s="600" t="s">
        <v>470</v>
      </c>
      <c r="C28" s="120"/>
      <c r="D28" s="120"/>
      <c r="E28" s="120"/>
      <c r="F28" s="120"/>
      <c r="G28" s="120"/>
      <c r="H28" s="120"/>
      <c r="I28" s="120"/>
      <c r="J28" s="120"/>
      <c r="K28" s="146"/>
      <c r="U28" s="145"/>
      <c r="V28" s="145"/>
      <c r="W28" s="145"/>
      <c r="X28" s="145"/>
      <c r="Y28" s="145"/>
      <c r="Z28" s="242"/>
      <c r="AA28" s="242"/>
      <c r="AB28" s="145"/>
      <c r="AC28" s="145"/>
      <c r="AD28" s="145"/>
      <c r="AE28" s="242"/>
      <c r="AF28" s="47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</row>
    <row r="29" spans="1:44" x14ac:dyDescent="0.25">
      <c r="A29" s="605">
        <f>IF(A28="","",IF(A28="4.2 A",'4. DR-detektor'!F37,'4. DR-detektor'!F74))</f>
        <v>49.054791945820455</v>
      </c>
      <c r="B29" s="596" t="s">
        <v>469</v>
      </c>
      <c r="C29" s="122"/>
      <c r="D29" s="122"/>
      <c r="E29" s="122"/>
      <c r="F29" s="122"/>
      <c r="G29" s="122"/>
      <c r="H29" s="122"/>
      <c r="I29" s="122"/>
      <c r="J29" s="122"/>
      <c r="K29" s="148"/>
      <c r="N29" s="581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242"/>
      <c r="AF29" s="47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</row>
    <row r="30" spans="1:44" x14ac:dyDescent="0.25">
      <c r="A30" s="154" t="s">
        <v>5</v>
      </c>
      <c r="B30" s="154" t="s">
        <v>25</v>
      </c>
      <c r="C30" s="155" t="s">
        <v>25</v>
      </c>
      <c r="D30" s="533" t="s">
        <v>21</v>
      </c>
      <c r="E30" s="533" t="s">
        <v>22</v>
      </c>
      <c r="F30" s="533" t="s">
        <v>347</v>
      </c>
      <c r="G30" s="533" t="s">
        <v>50</v>
      </c>
      <c r="H30" s="533" t="s">
        <v>50</v>
      </c>
      <c r="I30" s="533" t="s">
        <v>50</v>
      </c>
      <c r="J30" s="155" t="s">
        <v>378</v>
      </c>
      <c r="K30" s="185" t="s">
        <v>0</v>
      </c>
      <c r="L30" s="173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242"/>
      <c r="AF30" s="47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</row>
    <row r="31" spans="1:44" x14ac:dyDescent="0.25">
      <c r="A31" s="154"/>
      <c r="B31" s="154" t="s">
        <v>385</v>
      </c>
      <c r="C31" s="533" t="s">
        <v>49</v>
      </c>
      <c r="D31" s="155"/>
      <c r="E31" s="155"/>
      <c r="F31" s="155"/>
      <c r="G31" s="155"/>
      <c r="H31" s="155" t="s">
        <v>351</v>
      </c>
      <c r="I31" s="155" t="s">
        <v>31</v>
      </c>
      <c r="J31" s="155" t="s">
        <v>31</v>
      </c>
      <c r="K31" s="185"/>
      <c r="L31" s="173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242"/>
      <c r="AF31" s="47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</row>
    <row r="32" spans="1:44" x14ac:dyDescent="0.25">
      <c r="A32" s="156"/>
      <c r="B32" s="156" t="s">
        <v>83</v>
      </c>
      <c r="C32" s="156" t="s">
        <v>83</v>
      </c>
      <c r="D32" s="156"/>
      <c r="E32" s="156"/>
      <c r="F32" s="156" t="s">
        <v>332</v>
      </c>
      <c r="G32" s="156"/>
      <c r="H32" s="157"/>
      <c r="I32" s="156" t="s">
        <v>311</v>
      </c>
      <c r="J32" s="156" t="s">
        <v>311</v>
      </c>
      <c r="K32" s="241"/>
      <c r="L32" s="173"/>
      <c r="M32" s="145"/>
      <c r="N32" s="581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242"/>
      <c r="AF32" s="47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</row>
    <row r="33" spans="1:44" x14ac:dyDescent="0.25">
      <c r="A33" s="18">
        <v>1</v>
      </c>
      <c r="B33" s="346">
        <v>0</v>
      </c>
      <c r="C33" s="25">
        <f t="shared" ref="C33:C43" si="0">IF(AND($A$26="",B33=""),"",$A$26+B33)</f>
        <v>30</v>
      </c>
      <c r="D33" s="4">
        <v>405.2</v>
      </c>
      <c r="E33" s="4">
        <v>5.3</v>
      </c>
      <c r="F33" s="62">
        <v>49.5</v>
      </c>
      <c r="G33" s="30">
        <f>IF(OR($A$29="",D33="",E33=""),"",(D33-$A$29)/E33)</f>
        <v>67.197209066826332</v>
      </c>
      <c r="H33" s="30">
        <f>IF(OR($A$29="",D33="",E33=""),"",AVERAGEIF(D34:D43,"&gt;0",G34:G43))</f>
        <v>62.856989476002532</v>
      </c>
      <c r="I33" s="31">
        <f>IF(OR($A$29="",D33="",E33=""),"",ABS(G33-$H$33)/$H$33*100)</f>
        <v>6.9049116526345946</v>
      </c>
      <c r="J33" s="30">
        <f>IF(OR($A$29="",D33=""),"",MAX(I33:I43))</f>
        <v>6.9049116526345946</v>
      </c>
      <c r="K33" s="496" t="str">
        <f>IF(J33="","",IF(J33&gt;20,"IKKE OK","OK"))</f>
        <v>OK</v>
      </c>
      <c r="L33" s="272"/>
      <c r="M33" s="273"/>
      <c r="N33" s="581"/>
      <c r="U33" s="242"/>
      <c r="V33" s="242"/>
      <c r="W33" s="242"/>
      <c r="X33" s="242"/>
      <c r="Y33" s="242"/>
      <c r="Z33" s="47"/>
      <c r="AA33" s="145"/>
      <c r="AB33" s="165"/>
      <c r="AC33" s="165"/>
      <c r="AD33" s="145"/>
      <c r="AE33" s="242"/>
      <c r="AF33" s="47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</row>
    <row r="34" spans="1:44" x14ac:dyDescent="0.25">
      <c r="A34" s="113">
        <v>2</v>
      </c>
      <c r="B34" s="49">
        <v>2</v>
      </c>
      <c r="C34" s="26">
        <f t="shared" si="0"/>
        <v>32</v>
      </c>
      <c r="D34" s="6">
        <v>366.5</v>
      </c>
      <c r="E34" s="6">
        <v>5</v>
      </c>
      <c r="F34" s="6">
        <v>49.9</v>
      </c>
      <c r="G34" s="31">
        <f t="shared" ref="G34:G43" si="1">IF(OR($A$29="",D34="",E34=""),"",(D34-$A$29)/E34)</f>
        <v>63.489041610835912</v>
      </c>
      <c r="H34" s="252"/>
      <c r="I34" s="31">
        <f>IF(OR($A$29="",D34="",E34=""),"",ABS(G34-$H$33)/$H$33*100)</f>
        <v>1.0055399409077395</v>
      </c>
      <c r="J34" s="235"/>
      <c r="K34" s="251"/>
      <c r="L34" s="243"/>
      <c r="M34" s="145"/>
      <c r="U34" s="242"/>
      <c r="V34" s="242"/>
      <c r="W34" s="242"/>
      <c r="X34" s="242"/>
      <c r="Y34" s="242"/>
      <c r="Z34" s="47"/>
      <c r="AA34" s="145"/>
      <c r="AB34" s="165"/>
      <c r="AC34" s="16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65"/>
      <c r="AO34" s="165"/>
      <c r="AP34" s="145"/>
      <c r="AQ34" s="145"/>
      <c r="AR34" s="145"/>
    </row>
    <row r="35" spans="1:44" x14ac:dyDescent="0.25">
      <c r="A35" s="113">
        <v>3</v>
      </c>
      <c r="B35" s="49">
        <v>4</v>
      </c>
      <c r="C35" s="26">
        <f t="shared" si="0"/>
        <v>34</v>
      </c>
      <c r="D35" s="6">
        <v>362.1</v>
      </c>
      <c r="E35" s="6">
        <v>4.9000000000000004</v>
      </c>
      <c r="F35" s="6">
        <v>55.1</v>
      </c>
      <c r="G35" s="31">
        <f t="shared" si="1"/>
        <v>63.886777153914196</v>
      </c>
      <c r="H35" s="252"/>
      <c r="I35" s="31">
        <f t="shared" ref="I35:I43" si="2">IF(OR($A$29="",D35="",E35=""),"",ABS(G35-$H$33)/$H$33*100)</f>
        <v>1.6383025762072405</v>
      </c>
      <c r="J35" s="235"/>
      <c r="K35" s="251"/>
      <c r="L35" s="243"/>
      <c r="M35" s="47" t="str">
        <f>IF(OR($A$29="",H35="",I35=""),"",ABS(K35-$H$33)/$H$33*100)</f>
        <v/>
      </c>
      <c r="U35" s="242"/>
      <c r="V35" s="242"/>
      <c r="W35" s="242"/>
      <c r="X35" s="242"/>
      <c r="Y35" s="242"/>
      <c r="Z35" s="47"/>
      <c r="AA35" s="145"/>
      <c r="AB35" s="43"/>
      <c r="AC35" s="43"/>
      <c r="AD35" s="145"/>
      <c r="AE35" s="145"/>
      <c r="AF35" s="145"/>
      <c r="AG35" s="145"/>
      <c r="AH35" s="145"/>
      <c r="AI35" s="145"/>
      <c r="AJ35" s="43"/>
      <c r="AK35" s="43"/>
      <c r="AL35" s="43"/>
      <c r="AM35" s="43"/>
      <c r="AN35" s="165"/>
      <c r="AO35" s="165"/>
      <c r="AP35" s="43"/>
      <c r="AQ35" s="145"/>
      <c r="AR35" s="145"/>
    </row>
    <row r="36" spans="1:44" x14ac:dyDescent="0.25">
      <c r="A36" s="113">
        <v>4</v>
      </c>
      <c r="B36" s="49">
        <v>6</v>
      </c>
      <c r="C36" s="26">
        <f t="shared" si="0"/>
        <v>36</v>
      </c>
      <c r="D36" s="6">
        <v>358.6</v>
      </c>
      <c r="E36" s="6">
        <v>5</v>
      </c>
      <c r="F36" s="6">
        <v>61</v>
      </c>
      <c r="G36" s="31">
        <f t="shared" si="1"/>
        <v>61.909041610835914</v>
      </c>
      <c r="H36" s="252"/>
      <c r="I36" s="31">
        <f t="shared" si="2"/>
        <v>1.5081025564046857</v>
      </c>
      <c r="J36" s="235"/>
      <c r="K36" s="251"/>
      <c r="L36" s="244"/>
      <c r="U36" s="242"/>
      <c r="V36" s="242"/>
      <c r="W36" s="242"/>
      <c r="X36" s="242"/>
      <c r="Y36" s="242"/>
      <c r="Z36" s="47"/>
      <c r="AA36" s="145"/>
      <c r="AB36" s="242"/>
      <c r="AC36" s="47"/>
      <c r="AD36" s="145"/>
      <c r="AE36" s="145"/>
      <c r="AF36" s="145"/>
      <c r="AG36" s="145"/>
      <c r="AH36" s="145"/>
      <c r="AI36" s="145"/>
      <c r="AJ36" s="43"/>
      <c r="AK36" s="43"/>
      <c r="AL36" s="43"/>
      <c r="AM36" s="43"/>
      <c r="AN36" s="250"/>
      <c r="AO36" s="45"/>
      <c r="AP36" s="43"/>
      <c r="AQ36" s="145"/>
      <c r="AR36" s="145"/>
    </row>
    <row r="37" spans="1:44" x14ac:dyDescent="0.25">
      <c r="A37" s="113">
        <v>5</v>
      </c>
      <c r="B37" s="49">
        <v>8</v>
      </c>
      <c r="C37" s="26">
        <f t="shared" si="0"/>
        <v>38</v>
      </c>
      <c r="D37" s="6">
        <v>367.3</v>
      </c>
      <c r="E37" s="6">
        <v>5.0999999999999996</v>
      </c>
      <c r="F37" s="6">
        <v>70.3</v>
      </c>
      <c r="G37" s="31">
        <f t="shared" si="1"/>
        <v>62.401021187094038</v>
      </c>
      <c r="H37" s="252"/>
      <c r="I37" s="31">
        <f t="shared" si="2"/>
        <v>0.72540586609317803</v>
      </c>
      <c r="J37" s="235"/>
      <c r="K37" s="251"/>
      <c r="L37" s="243"/>
      <c r="U37" s="242"/>
      <c r="V37" s="242"/>
      <c r="W37" s="242"/>
      <c r="X37" s="242"/>
      <c r="Y37" s="242"/>
      <c r="Z37" s="47"/>
      <c r="AA37" s="145"/>
      <c r="AB37" s="242"/>
      <c r="AC37" s="47"/>
      <c r="AD37" s="145"/>
      <c r="AE37" s="145"/>
      <c r="AF37" s="145"/>
      <c r="AG37" s="145"/>
      <c r="AH37" s="145"/>
      <c r="AI37" s="145"/>
      <c r="AJ37" s="43"/>
      <c r="AK37" s="43"/>
      <c r="AL37" s="43"/>
      <c r="AM37" s="43"/>
      <c r="AN37" s="44"/>
      <c r="AO37" s="43"/>
      <c r="AP37" s="43"/>
      <c r="AQ37" s="145"/>
      <c r="AR37" s="145"/>
    </row>
    <row r="38" spans="1:44" x14ac:dyDescent="0.25">
      <c r="A38" s="113">
        <v>6</v>
      </c>
      <c r="B38" s="49">
        <v>10</v>
      </c>
      <c r="C38" s="26">
        <f t="shared" si="0"/>
        <v>40</v>
      </c>
      <c r="D38" s="6">
        <v>367.1</v>
      </c>
      <c r="E38" s="6">
        <v>5</v>
      </c>
      <c r="F38" s="6">
        <v>78.5</v>
      </c>
      <c r="G38" s="31">
        <f t="shared" si="1"/>
        <v>63.609041610835916</v>
      </c>
      <c r="H38" s="252"/>
      <c r="I38" s="31">
        <f t="shared" si="2"/>
        <v>1.1964494976656526</v>
      </c>
      <c r="J38" s="235"/>
      <c r="K38" s="251"/>
      <c r="L38" s="243"/>
      <c r="U38" s="242"/>
      <c r="V38" s="242"/>
      <c r="W38" s="242"/>
      <c r="X38" s="242"/>
      <c r="Y38" s="242"/>
      <c r="Z38" s="47"/>
      <c r="AA38" s="145"/>
      <c r="AB38" s="242"/>
      <c r="AC38" s="47"/>
      <c r="AD38" s="145"/>
      <c r="AE38" s="145"/>
      <c r="AF38" s="145"/>
      <c r="AG38" s="145"/>
      <c r="AH38" s="145"/>
      <c r="AI38" s="145"/>
      <c r="AJ38" s="43"/>
      <c r="AK38" s="43"/>
      <c r="AL38" s="43"/>
      <c r="AM38" s="43"/>
      <c r="AN38" s="44"/>
      <c r="AO38" s="43"/>
      <c r="AP38" s="43"/>
      <c r="AQ38" s="145"/>
      <c r="AR38" s="145"/>
    </row>
    <row r="39" spans="1:44" x14ac:dyDescent="0.25">
      <c r="A39" s="113">
        <v>7</v>
      </c>
      <c r="B39" s="49">
        <v>12</v>
      </c>
      <c r="C39" s="26">
        <f t="shared" si="0"/>
        <v>42</v>
      </c>
      <c r="D39" s="6"/>
      <c r="E39" s="6"/>
      <c r="F39" s="6"/>
      <c r="G39" s="31" t="str">
        <f t="shared" si="1"/>
        <v/>
      </c>
      <c r="H39" s="252"/>
      <c r="I39" s="31" t="str">
        <f t="shared" si="2"/>
        <v/>
      </c>
      <c r="J39" s="235"/>
      <c r="K39" s="251"/>
      <c r="L39" s="243"/>
      <c r="U39" s="242"/>
      <c r="V39" s="242"/>
      <c r="W39" s="242"/>
      <c r="X39" s="242"/>
      <c r="Y39" s="242"/>
      <c r="Z39" s="47"/>
      <c r="AA39" s="145"/>
      <c r="AB39" s="242"/>
      <c r="AC39" s="47"/>
      <c r="AD39" s="145"/>
      <c r="AE39" s="145"/>
      <c r="AF39" s="145"/>
      <c r="AG39" s="145"/>
      <c r="AH39" s="145"/>
      <c r="AI39" s="145"/>
      <c r="AJ39" s="43"/>
      <c r="AK39" s="43"/>
      <c r="AL39" s="43"/>
      <c r="AM39" s="43"/>
      <c r="AN39" s="257"/>
      <c r="AO39" s="43"/>
      <c r="AP39" s="43"/>
      <c r="AQ39" s="145"/>
      <c r="AR39" s="145"/>
    </row>
    <row r="40" spans="1:44" x14ac:dyDescent="0.25">
      <c r="A40" s="113">
        <v>8</v>
      </c>
      <c r="B40" s="49">
        <v>14</v>
      </c>
      <c r="C40" s="26">
        <f t="shared" si="0"/>
        <v>44</v>
      </c>
      <c r="D40" s="6">
        <v>366.9</v>
      </c>
      <c r="E40" s="6">
        <v>5.0999999999999996</v>
      </c>
      <c r="F40" s="6">
        <v>98.2</v>
      </c>
      <c r="G40" s="31">
        <f t="shared" si="1"/>
        <v>62.322589814545012</v>
      </c>
      <c r="H40" s="252"/>
      <c r="I40" s="31">
        <f t="shared" si="2"/>
        <v>0.8501833541702517</v>
      </c>
      <c r="J40" s="235"/>
      <c r="K40" s="251"/>
      <c r="L40" s="243"/>
      <c r="M40" s="44"/>
      <c r="U40" s="242"/>
      <c r="V40" s="242"/>
      <c r="W40" s="242"/>
      <c r="X40" s="242"/>
      <c r="Y40" s="242"/>
      <c r="Z40" s="47"/>
      <c r="AA40" s="145"/>
      <c r="AB40" s="242"/>
      <c r="AC40" s="47"/>
      <c r="AD40" s="145"/>
      <c r="AE40" s="145"/>
      <c r="AF40" s="145"/>
      <c r="AG40" s="145"/>
      <c r="AH40" s="145"/>
      <c r="AI40" s="145"/>
      <c r="AJ40" s="43"/>
      <c r="AK40" s="43"/>
      <c r="AL40" s="43"/>
      <c r="AM40" s="43"/>
      <c r="AN40" s="44"/>
      <c r="AO40" s="43"/>
      <c r="AP40" s="43"/>
      <c r="AQ40" s="145"/>
      <c r="AR40" s="145"/>
    </row>
    <row r="41" spans="1:44" x14ac:dyDescent="0.25">
      <c r="A41" s="113">
        <v>9</v>
      </c>
      <c r="B41" s="49">
        <v>16</v>
      </c>
      <c r="C41" s="26">
        <f t="shared" si="0"/>
        <v>46</v>
      </c>
      <c r="D41" s="6"/>
      <c r="E41" s="6"/>
      <c r="F41" s="6"/>
      <c r="G41" s="31" t="str">
        <f t="shared" si="1"/>
        <v/>
      </c>
      <c r="H41" s="252"/>
      <c r="I41" s="31" t="str">
        <f t="shared" si="2"/>
        <v/>
      </c>
      <c r="J41" s="235"/>
      <c r="K41" s="251"/>
      <c r="L41" s="243"/>
      <c r="M41" s="44"/>
      <c r="U41" s="242"/>
      <c r="V41" s="242"/>
      <c r="W41" s="242"/>
      <c r="X41" s="242"/>
      <c r="Y41" s="242"/>
      <c r="Z41" s="47"/>
      <c r="AA41" s="145"/>
      <c r="AB41" s="242"/>
      <c r="AC41" s="47"/>
      <c r="AD41" s="145"/>
      <c r="AE41" s="145"/>
      <c r="AF41" s="145"/>
      <c r="AG41" s="145"/>
      <c r="AH41" s="145"/>
      <c r="AI41" s="145"/>
      <c r="AJ41" s="43"/>
      <c r="AK41" s="43"/>
      <c r="AL41" s="43"/>
      <c r="AM41" s="43"/>
      <c r="AN41" s="44"/>
      <c r="AO41" s="43"/>
      <c r="AP41" s="43"/>
      <c r="AQ41" s="145"/>
      <c r="AR41" s="145"/>
    </row>
    <row r="42" spans="1:44" x14ac:dyDescent="0.25">
      <c r="A42" s="113">
        <v>10</v>
      </c>
      <c r="B42" s="49">
        <v>18</v>
      </c>
      <c r="C42" s="26">
        <f t="shared" si="0"/>
        <v>48</v>
      </c>
      <c r="D42" s="6"/>
      <c r="E42" s="6"/>
      <c r="F42" s="6"/>
      <c r="G42" s="31" t="str">
        <f t="shared" si="1"/>
        <v/>
      </c>
      <c r="H42" s="252"/>
      <c r="I42" s="31" t="str">
        <f t="shared" si="2"/>
        <v/>
      </c>
      <c r="J42" s="235"/>
      <c r="K42" s="251"/>
      <c r="L42" s="243"/>
      <c r="M42" s="44"/>
      <c r="U42" s="242"/>
      <c r="V42" s="242"/>
      <c r="W42" s="242"/>
      <c r="X42" s="242"/>
      <c r="Y42" s="242"/>
      <c r="Z42" s="47"/>
      <c r="AA42" s="145"/>
      <c r="AB42" s="242"/>
      <c r="AC42" s="47"/>
      <c r="AD42" s="145"/>
      <c r="AE42" s="145"/>
      <c r="AF42" s="145"/>
      <c r="AG42" s="145"/>
      <c r="AH42" s="145"/>
      <c r="AI42" s="145"/>
      <c r="AJ42" s="43"/>
      <c r="AK42" s="43"/>
      <c r="AL42" s="43"/>
      <c r="AM42" s="43"/>
      <c r="AN42" s="44"/>
      <c r="AO42" s="43"/>
      <c r="AP42" s="43"/>
      <c r="AQ42" s="145"/>
      <c r="AR42" s="145"/>
    </row>
    <row r="43" spans="1:44" x14ac:dyDescent="0.25">
      <c r="A43" s="121">
        <v>11</v>
      </c>
      <c r="B43" s="50">
        <v>20</v>
      </c>
      <c r="C43" s="27">
        <f t="shared" si="0"/>
        <v>50</v>
      </c>
      <c r="D43" s="8">
        <v>367.2</v>
      </c>
      <c r="E43" s="8">
        <v>5.0999999999999996</v>
      </c>
      <c r="F43" s="8">
        <v>137.6</v>
      </c>
      <c r="G43" s="32">
        <f t="shared" si="1"/>
        <v>62.381413343956773</v>
      </c>
      <c r="H43" s="255"/>
      <c r="I43" s="32">
        <f t="shared" si="2"/>
        <v>0.75660023811246058</v>
      </c>
      <c r="J43" s="236"/>
      <c r="K43" s="254"/>
      <c r="L43" s="243"/>
      <c r="M43" s="44"/>
      <c r="U43" s="242"/>
      <c r="V43" s="242"/>
      <c r="W43" s="242"/>
      <c r="X43" s="242"/>
      <c r="Y43" s="242"/>
      <c r="Z43" s="242"/>
      <c r="AA43" s="145"/>
      <c r="AB43" s="242"/>
      <c r="AC43" s="47"/>
      <c r="AD43" s="145"/>
      <c r="AE43" s="145"/>
      <c r="AF43" s="145"/>
      <c r="AG43" s="145"/>
      <c r="AH43" s="145"/>
      <c r="AI43" s="145"/>
      <c r="AJ43" s="43"/>
      <c r="AK43" s="43"/>
      <c r="AL43" s="43"/>
      <c r="AM43" s="43"/>
      <c r="AN43" s="43"/>
      <c r="AO43" s="43"/>
      <c r="AP43" s="43"/>
      <c r="AQ43" s="145"/>
      <c r="AR43" s="145"/>
    </row>
    <row r="44" spans="1:44" x14ac:dyDescent="0.25">
      <c r="A44" s="43"/>
      <c r="B44" s="43"/>
      <c r="C44" s="43"/>
      <c r="D44" s="47"/>
      <c r="E44" s="242"/>
      <c r="F44" s="44"/>
      <c r="G44" s="45"/>
      <c r="H44" s="43"/>
      <c r="I44" s="242"/>
      <c r="J44" s="245"/>
      <c r="K44" s="44"/>
      <c r="L44" s="45"/>
      <c r="M44" s="43"/>
      <c r="U44" s="145"/>
      <c r="V44" s="145"/>
      <c r="W44" s="145"/>
      <c r="X44" s="145"/>
      <c r="Y44" s="145"/>
      <c r="Z44" s="145"/>
      <c r="AA44" s="145"/>
      <c r="AB44" s="242"/>
      <c r="AC44" s="47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</row>
    <row r="46" spans="1:44" ht="18.75" x14ac:dyDescent="0.3">
      <c r="A46" s="116" t="s">
        <v>544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26"/>
      <c r="U46" s="126"/>
    </row>
    <row r="47" spans="1:44" x14ac:dyDescent="0.25">
      <c r="T47" s="126"/>
      <c r="U47" s="126"/>
    </row>
    <row r="48" spans="1:44" x14ac:dyDescent="0.25">
      <c r="A48" s="138" t="s">
        <v>472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8" t="s">
        <v>421</v>
      </c>
      <c r="O48" s="139"/>
      <c r="P48" s="139"/>
      <c r="Q48" s="139"/>
      <c r="R48" s="139"/>
      <c r="S48" s="139"/>
      <c r="T48" s="145"/>
      <c r="U48" s="145"/>
    </row>
    <row r="49" spans="1:21" x14ac:dyDescent="0.25">
      <c r="A49" s="141" t="s">
        <v>307</v>
      </c>
      <c r="B49" s="119" t="s">
        <v>318</v>
      </c>
      <c r="C49" s="119"/>
      <c r="D49" s="119"/>
      <c r="E49" s="203"/>
      <c r="F49" s="119"/>
      <c r="G49" s="119"/>
      <c r="H49" s="119"/>
      <c r="I49" s="119"/>
      <c r="J49" s="119"/>
      <c r="K49" s="119"/>
      <c r="L49" s="119"/>
      <c r="M49" s="119"/>
      <c r="N49" s="564"/>
      <c r="O49" s="565"/>
      <c r="P49" s="565"/>
      <c r="Q49" s="565"/>
      <c r="R49" s="565"/>
      <c r="S49" s="566"/>
      <c r="T49" s="145"/>
      <c r="U49" s="145"/>
    </row>
    <row r="50" spans="1:21" x14ac:dyDescent="0.25">
      <c r="A50" s="713" t="s">
        <v>560</v>
      </c>
      <c r="B50" s="713" t="s">
        <v>561</v>
      </c>
      <c r="C50" s="114"/>
      <c r="D50" s="120"/>
      <c r="E50" s="206"/>
      <c r="F50" s="120"/>
      <c r="G50" s="120"/>
      <c r="H50" s="120"/>
      <c r="I50" s="120"/>
      <c r="J50" s="120"/>
      <c r="K50" s="120"/>
      <c r="L50" s="120"/>
      <c r="M50" s="120"/>
      <c r="N50" s="652"/>
      <c r="O50" s="653"/>
      <c r="P50" s="653"/>
      <c r="Q50" s="653"/>
      <c r="R50" s="653"/>
      <c r="S50" s="654"/>
      <c r="T50" s="145"/>
      <c r="U50" s="145"/>
    </row>
    <row r="51" spans="1:21" x14ac:dyDescent="0.25">
      <c r="A51" s="164" t="s">
        <v>308</v>
      </c>
      <c r="B51" s="120" t="s">
        <v>471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561"/>
      <c r="O51" s="562"/>
      <c r="P51" s="562"/>
      <c r="Q51" s="562"/>
      <c r="R51" s="562"/>
      <c r="S51" s="563"/>
      <c r="T51" s="145"/>
      <c r="U51" s="145"/>
    </row>
    <row r="52" spans="1:21" x14ac:dyDescent="0.25">
      <c r="A52" s="164"/>
      <c r="B52" s="120" t="s">
        <v>614</v>
      </c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561"/>
      <c r="O52" s="562"/>
      <c r="P52" s="562"/>
      <c r="Q52" s="562"/>
      <c r="R52" s="562"/>
      <c r="S52" s="563"/>
      <c r="T52" s="145"/>
      <c r="U52" s="145"/>
    </row>
    <row r="53" spans="1:21" x14ac:dyDescent="0.25">
      <c r="A53" s="164"/>
      <c r="B53" s="145" t="s">
        <v>613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652"/>
      <c r="O53" s="653"/>
      <c r="P53" s="653"/>
      <c r="Q53" s="653"/>
      <c r="R53" s="653"/>
      <c r="S53" s="654"/>
      <c r="T53" s="145"/>
      <c r="U53" s="145"/>
    </row>
    <row r="54" spans="1:21" x14ac:dyDescent="0.25">
      <c r="A54" s="164" t="s">
        <v>76</v>
      </c>
      <c r="B54" s="120" t="s">
        <v>623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561"/>
      <c r="O54" s="562"/>
      <c r="P54" s="562"/>
      <c r="Q54" s="562"/>
      <c r="R54" s="562"/>
      <c r="S54" s="563"/>
      <c r="T54" s="145"/>
      <c r="U54" s="145"/>
    </row>
    <row r="55" spans="1:21" x14ac:dyDescent="0.25">
      <c r="A55" s="164"/>
      <c r="B55" s="703" t="s">
        <v>616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652"/>
      <c r="O55" s="653"/>
      <c r="P55" s="653"/>
      <c r="Q55" s="653"/>
      <c r="R55" s="653"/>
      <c r="S55" s="654"/>
      <c r="T55" s="145"/>
      <c r="U55" s="145"/>
    </row>
    <row r="56" spans="1:21" x14ac:dyDescent="0.25">
      <c r="A56" s="164"/>
      <c r="B56" s="120" t="s">
        <v>617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652"/>
      <c r="O56" s="653"/>
      <c r="P56" s="653"/>
      <c r="Q56" s="653"/>
      <c r="R56" s="653"/>
      <c r="S56" s="654"/>
      <c r="T56" s="145"/>
      <c r="U56" s="145"/>
    </row>
    <row r="57" spans="1:21" ht="18" x14ac:dyDescent="0.35">
      <c r="A57" s="164"/>
      <c r="B57" s="120" t="s">
        <v>622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652"/>
      <c r="O57" s="653"/>
      <c r="P57" s="653"/>
      <c r="Q57" s="653"/>
      <c r="R57" s="653"/>
      <c r="S57" s="654"/>
      <c r="T57" s="145"/>
      <c r="U57" s="145"/>
    </row>
    <row r="58" spans="1:21" x14ac:dyDescent="0.25">
      <c r="A58" s="164"/>
      <c r="B58" s="120" t="s">
        <v>618</v>
      </c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652"/>
      <c r="O58" s="653"/>
      <c r="P58" s="653"/>
      <c r="Q58" s="653"/>
      <c r="R58" s="653"/>
      <c r="S58" s="654"/>
      <c r="T58" s="145"/>
      <c r="U58" s="145"/>
    </row>
    <row r="59" spans="1:21" x14ac:dyDescent="0.25">
      <c r="A59" s="164"/>
      <c r="B59" s="145" t="s">
        <v>624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652"/>
      <c r="O59" s="653"/>
      <c r="P59" s="653"/>
      <c r="Q59" s="653"/>
      <c r="R59" s="653"/>
      <c r="S59" s="654"/>
      <c r="T59" s="145"/>
      <c r="U59" s="145"/>
    </row>
    <row r="60" spans="1:21" x14ac:dyDescent="0.25">
      <c r="A60" s="164"/>
      <c r="B60" s="120" t="s">
        <v>619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652"/>
      <c r="O60" s="653"/>
      <c r="P60" s="653"/>
      <c r="Q60" s="653"/>
      <c r="R60" s="653"/>
      <c r="S60" s="654"/>
      <c r="T60" s="145"/>
      <c r="U60" s="145"/>
    </row>
    <row r="61" spans="1:21" x14ac:dyDescent="0.25">
      <c r="A61" s="164"/>
      <c r="B61" s="120" t="s">
        <v>620</v>
      </c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652"/>
      <c r="O61" s="653"/>
      <c r="P61" s="653"/>
      <c r="Q61" s="653"/>
      <c r="R61" s="653"/>
      <c r="S61" s="654"/>
      <c r="T61" s="145"/>
      <c r="U61" s="145"/>
    </row>
    <row r="62" spans="1:21" x14ac:dyDescent="0.25">
      <c r="A62" s="164"/>
      <c r="B62" s="145" t="s">
        <v>621</v>
      </c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652"/>
      <c r="O62" s="653"/>
      <c r="P62" s="653"/>
      <c r="Q62" s="653"/>
      <c r="R62" s="653"/>
      <c r="S62" s="654"/>
      <c r="T62" s="145"/>
      <c r="U62" s="145"/>
    </row>
    <row r="63" spans="1:21" ht="18" x14ac:dyDescent="0.35">
      <c r="A63" s="164"/>
      <c r="B63" s="120" t="s">
        <v>625</v>
      </c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652"/>
      <c r="O63" s="653"/>
      <c r="P63" s="653"/>
      <c r="Q63" s="653"/>
      <c r="R63" s="653"/>
      <c r="S63" s="654"/>
      <c r="T63" s="145"/>
      <c r="U63" s="145"/>
    </row>
    <row r="64" spans="1:21" x14ac:dyDescent="0.25">
      <c r="A64" s="164"/>
      <c r="B64" s="120" t="s">
        <v>618</v>
      </c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652"/>
      <c r="O64" s="653"/>
      <c r="P64" s="653"/>
      <c r="Q64" s="653"/>
      <c r="R64" s="653"/>
      <c r="S64" s="654"/>
      <c r="T64" s="145"/>
      <c r="U64" s="145"/>
    </row>
    <row r="65" spans="1:25" x14ac:dyDescent="0.25">
      <c r="A65" s="160" t="s">
        <v>100</v>
      </c>
      <c r="B65" s="122" t="s">
        <v>384</v>
      </c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574"/>
      <c r="O65" s="543"/>
      <c r="P65" s="543"/>
      <c r="Q65" s="543"/>
      <c r="R65" s="543"/>
      <c r="S65" s="575"/>
      <c r="T65" s="145"/>
      <c r="U65" s="145"/>
    </row>
    <row r="66" spans="1:25" x14ac:dyDescent="0.25">
      <c r="A66" s="145"/>
      <c r="B66" s="274"/>
      <c r="T66" s="126"/>
      <c r="U66" s="126"/>
    </row>
    <row r="67" spans="1:25" x14ac:dyDescent="0.25">
      <c r="A67" s="150" t="s">
        <v>473</v>
      </c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45"/>
      <c r="U67" s="145"/>
    </row>
    <row r="68" spans="1:25" x14ac:dyDescent="0.25">
      <c r="A68" s="145"/>
      <c r="B68" s="274"/>
      <c r="T68" s="126"/>
      <c r="U68" s="126"/>
    </row>
    <row r="69" spans="1:25" x14ac:dyDescent="0.25">
      <c r="A69" s="275" t="s">
        <v>615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26"/>
      <c r="U69" s="126"/>
    </row>
    <row r="70" spans="1:25" x14ac:dyDescent="0.25">
      <c r="U70" s="145"/>
      <c r="V70" s="145"/>
      <c r="W70" s="145"/>
      <c r="X70" s="145"/>
    </row>
    <row r="71" spans="1:25" x14ac:dyDescent="0.25">
      <c r="A71" s="648">
        <f>IF('2. Røntgenrør m.m.'!A107="","",'2. Røntgenrør m.m.'!A107)</f>
        <v>620</v>
      </c>
      <c r="B71" s="649" t="s">
        <v>534</v>
      </c>
      <c r="C71" s="469"/>
      <c r="D71" s="469"/>
      <c r="E71" s="469"/>
      <c r="F71" s="469"/>
      <c r="G71" s="469"/>
      <c r="H71" s="469"/>
      <c r="I71" s="469"/>
      <c r="J71" s="469"/>
      <c r="K71" s="469"/>
      <c r="L71" s="469"/>
      <c r="M71" s="650"/>
      <c r="N71" s="650"/>
      <c r="O71" s="650"/>
      <c r="P71" s="469"/>
      <c r="Q71" s="469"/>
      <c r="R71" s="469"/>
      <c r="S71" s="470"/>
      <c r="T71" s="120"/>
      <c r="U71" s="145"/>
      <c r="V71" s="145"/>
      <c r="W71" s="145"/>
      <c r="X71" s="145"/>
      <c r="Y71" s="145"/>
    </row>
    <row r="72" spans="1:25" x14ac:dyDescent="0.25">
      <c r="A72" s="154" t="s">
        <v>5</v>
      </c>
      <c r="B72" s="154" t="s">
        <v>25</v>
      </c>
      <c r="C72" s="154" t="s">
        <v>59</v>
      </c>
      <c r="D72" s="155" t="s">
        <v>387</v>
      </c>
      <c r="E72" s="154" t="s">
        <v>361</v>
      </c>
      <c r="F72" s="533" t="s">
        <v>347</v>
      </c>
      <c r="G72" s="155" t="s">
        <v>52</v>
      </c>
      <c r="H72" s="533" t="s">
        <v>67</v>
      </c>
      <c r="I72" s="533" t="s">
        <v>57</v>
      </c>
      <c r="J72" s="155" t="s">
        <v>2</v>
      </c>
      <c r="K72" s="533" t="s">
        <v>67</v>
      </c>
      <c r="L72" s="533" t="s">
        <v>11</v>
      </c>
      <c r="M72" s="533" t="s">
        <v>54</v>
      </c>
      <c r="N72" s="533" t="s">
        <v>55</v>
      </c>
      <c r="O72" s="533" t="s">
        <v>56</v>
      </c>
      <c r="P72" s="533" t="s">
        <v>57</v>
      </c>
      <c r="Q72" s="533" t="s">
        <v>57</v>
      </c>
      <c r="R72" s="533" t="s">
        <v>57</v>
      </c>
      <c r="S72" s="155" t="s">
        <v>0</v>
      </c>
      <c r="U72" s="145"/>
      <c r="V72" s="145"/>
      <c r="W72" s="145"/>
      <c r="X72" s="165"/>
      <c r="Y72" s="145"/>
    </row>
    <row r="73" spans="1:25" x14ac:dyDescent="0.25">
      <c r="A73" s="154"/>
      <c r="B73" s="154"/>
      <c r="C73" s="154" t="s">
        <v>386</v>
      </c>
      <c r="D73" s="155" t="s">
        <v>51</v>
      </c>
      <c r="E73" s="154"/>
      <c r="F73" s="155"/>
      <c r="G73" s="155" t="s">
        <v>26</v>
      </c>
      <c r="H73" s="155" t="s">
        <v>78</v>
      </c>
      <c r="I73" s="155" t="s">
        <v>78</v>
      </c>
      <c r="J73" s="155" t="s">
        <v>10</v>
      </c>
      <c r="K73" s="155" t="s">
        <v>61</v>
      </c>
      <c r="L73" s="155"/>
      <c r="M73" s="155"/>
      <c r="N73" s="155"/>
      <c r="O73" s="155"/>
      <c r="P73" s="155" t="s">
        <v>61</v>
      </c>
      <c r="Q73" s="155" t="s">
        <v>58</v>
      </c>
      <c r="R73" s="155" t="s">
        <v>381</v>
      </c>
      <c r="S73" s="155"/>
      <c r="U73" s="145"/>
      <c r="V73" s="145"/>
      <c r="W73" s="145"/>
      <c r="X73" s="165"/>
      <c r="Y73" s="145"/>
    </row>
    <row r="74" spans="1:25" x14ac:dyDescent="0.25">
      <c r="A74" s="154"/>
      <c r="B74" s="154"/>
      <c r="C74" s="154"/>
      <c r="D74" s="533" t="s">
        <v>53</v>
      </c>
      <c r="E74" s="154"/>
      <c r="F74" s="154"/>
      <c r="G74" s="155"/>
      <c r="H74" s="155" t="s">
        <v>13</v>
      </c>
      <c r="I74" s="155" t="s">
        <v>13</v>
      </c>
      <c r="J74" s="533" t="s">
        <v>6</v>
      </c>
      <c r="K74" s="155" t="s">
        <v>67</v>
      </c>
      <c r="L74" s="155"/>
      <c r="M74" s="155"/>
      <c r="N74" s="155"/>
      <c r="O74" s="155"/>
      <c r="P74" s="155"/>
      <c r="Q74" s="155" t="s">
        <v>62</v>
      </c>
      <c r="R74" s="155"/>
      <c r="S74" s="155"/>
      <c r="U74" s="145"/>
      <c r="V74" s="145"/>
      <c r="W74" s="145"/>
      <c r="X74" s="165"/>
      <c r="Y74" s="145"/>
    </row>
    <row r="75" spans="1:25" x14ac:dyDescent="0.25">
      <c r="A75" s="156"/>
      <c r="B75" s="156" t="s">
        <v>83</v>
      </c>
      <c r="C75" s="156" t="s">
        <v>83</v>
      </c>
      <c r="D75" s="156" t="s">
        <v>83</v>
      </c>
      <c r="E75" s="156" t="s">
        <v>344</v>
      </c>
      <c r="F75" s="156" t="s">
        <v>332</v>
      </c>
      <c r="G75" s="157"/>
      <c r="H75" s="157" t="s">
        <v>310</v>
      </c>
      <c r="I75" s="157" t="s">
        <v>310</v>
      </c>
      <c r="J75" s="156" t="s">
        <v>329</v>
      </c>
      <c r="K75" s="157" t="s">
        <v>310</v>
      </c>
      <c r="L75" s="156" t="s">
        <v>322</v>
      </c>
      <c r="M75" s="157"/>
      <c r="N75" s="157"/>
      <c r="O75" s="156"/>
      <c r="P75" s="157" t="s">
        <v>310</v>
      </c>
      <c r="Q75" s="157" t="s">
        <v>310</v>
      </c>
      <c r="R75" s="157" t="s">
        <v>310</v>
      </c>
      <c r="S75" s="157"/>
      <c r="U75" s="145"/>
      <c r="V75" s="145"/>
      <c r="W75" s="43"/>
      <c r="X75" s="165"/>
      <c r="Y75" s="145"/>
    </row>
    <row r="76" spans="1:25" x14ac:dyDescent="0.25">
      <c r="A76" s="18">
        <v>1</v>
      </c>
      <c r="B76" s="25">
        <v>20</v>
      </c>
      <c r="C76" s="25">
        <v>21</v>
      </c>
      <c r="D76" s="14">
        <v>21</v>
      </c>
      <c r="E76" s="3">
        <v>26</v>
      </c>
      <c r="F76" s="4">
        <v>29.9</v>
      </c>
      <c r="G76" s="3" t="s">
        <v>171</v>
      </c>
      <c r="H76" s="62">
        <v>0.8</v>
      </c>
      <c r="I76" s="61">
        <v>0.46</v>
      </c>
      <c r="J76" s="33">
        <f>IF(OR(E76="",G76=""),"",INDEX(Data!$C$96:$E$107,VLOOKUP('5. Automatik (AEC)'!E76,Data!$A$96:$B$107,2,FALSE),HLOOKUP(G76,Data!$C$94:$E$95,2,FALSE)))</f>
        <v>2.2499999999999996E-2</v>
      </c>
      <c r="K76" s="33">
        <f>IF(OR(E76="",G76="",J76=""),"",(J76*F76*($A$71/($A$71-D76))^2))</f>
        <v>0.72074799122633437</v>
      </c>
      <c r="L76" s="25">
        <f>IF(OR(E76="",G76=""),"",INDEX(Data!$J$96:$L$107,VLOOKUP(E76,Data!$H$96:$I$107,2,FALSE),HLOOKUP(G76,Data!$J$94:$L$95,2,FALSE)))</f>
        <v>0.54100000000000004</v>
      </c>
      <c r="M76" s="276">
        <f>IF(OR(E76="",G76=""),"",VLOOKUP('5. Automatik (AEC)'!B76,Data!$V$10:$W$17,2,FALSE))</f>
        <v>0.55321597674590006</v>
      </c>
      <c r="N76" s="276">
        <f>IF(OR(E76="",G76=""),"",VLOOKUP(B76,Data!$V$45:$W$52,2,FALSE))</f>
        <v>0.91605722762310005</v>
      </c>
      <c r="O76" s="33">
        <f>IF(G76="","",VLOOKUP(G76,Data!$A$76:$B$81,2,FALSE))</f>
        <v>1.042</v>
      </c>
      <c r="P76" s="277">
        <f>IF(OR(E76="",G76="",J76=""),"",K76*M76*N76*O76)</f>
        <v>0.38059973290370713</v>
      </c>
      <c r="Q76" s="30">
        <v>0.8</v>
      </c>
      <c r="R76" s="30">
        <v>1.2</v>
      </c>
      <c r="S76" s="489" t="str">
        <f>IF(OR(E76="",G76="",J76=""),"",IF(P76&lt;Q76,"OK",IF(AND(P76&gt;Q76,P76&lt;R76),"NB!","IKKE OK")))</f>
        <v>OK</v>
      </c>
      <c r="U76" s="439"/>
      <c r="V76" s="439"/>
      <c r="W76" s="43"/>
      <c r="X76" s="250"/>
      <c r="Y76" s="145"/>
    </row>
    <row r="77" spans="1:25" x14ac:dyDescent="0.25">
      <c r="A77" s="113">
        <v>2</v>
      </c>
      <c r="B77" s="26">
        <v>30</v>
      </c>
      <c r="C77" s="26">
        <v>32</v>
      </c>
      <c r="D77" s="15">
        <v>32</v>
      </c>
      <c r="E77" s="5">
        <v>27</v>
      </c>
      <c r="F77" s="6">
        <v>46.5</v>
      </c>
      <c r="G77" s="5" t="s">
        <v>171</v>
      </c>
      <c r="H77" s="6">
        <v>1.5</v>
      </c>
      <c r="I77" s="10">
        <v>0.61</v>
      </c>
      <c r="J77" s="35">
        <f>IF(OR(E77="",G77=""),"",INDEX(Data!$C$96:$E$107,VLOOKUP('5. Automatik (AEC)'!E77,Data!$A$96:$B$107,2,FALSE),HLOOKUP(G77,Data!$C$94:$E$95,2,FALSE)))</f>
        <v>2.5219999999999992E-2</v>
      </c>
      <c r="K77" s="35">
        <f t="shared" ref="K77:K82" si="3">IF(OR(E77="",G77="",J77=""),"",(J77*F77*($A$71/($A$71-D77))^2))</f>
        <v>1.3038473899763983</v>
      </c>
      <c r="L77" s="26">
        <f>IF(OR(E77="",G77=""),"",INDEX(Data!$J$96:$L$107,VLOOKUP(E77,Data!$H$96:$I$107,2,FALSE),HLOOKUP(G77,Data!$J$94:$L$95,2,FALSE)))</f>
        <v>0.55200000000000005</v>
      </c>
      <c r="M77" s="278">
        <f>IF(OR(E77="",G77=""),"",VLOOKUP('5. Automatik (AEC)'!B77,Data!$V$10:$W$17,2,FALSE))</f>
        <v>0.41953613701120007</v>
      </c>
      <c r="N77" s="278">
        <f>IF(OR(E77="",G77=""),"",VLOOKUP(B77,Data!$V$45:$W$52,2,FALSE))</f>
        <v>0.951344436224</v>
      </c>
      <c r="O77" s="35">
        <f>IF(G77="","",VLOOKUP(G77,Data!$A$76:$B$81,2,FALSE))</f>
        <v>1.042</v>
      </c>
      <c r="P77" s="279">
        <f t="shared" ref="P77:P82" si="4">IF(OR(E77="",G77="",J77=""),"",K77*M77*N77*O77)</f>
        <v>0.54225259439917517</v>
      </c>
      <c r="Q77" s="31">
        <v>1</v>
      </c>
      <c r="R77" s="31">
        <v>1.5</v>
      </c>
      <c r="S77" s="490" t="str">
        <f t="shared" ref="S77:S82" si="5">IF(OR(E77="",G77="",J77=""),"",IF(P77&lt;Q77,"OK",IF(AND(P77&gt;Q77,P77&lt;R77),"NB!","IKKE OK")))</f>
        <v>OK</v>
      </c>
      <c r="U77" s="439"/>
      <c r="V77" s="439"/>
      <c r="W77" s="43"/>
      <c r="X77" s="44"/>
      <c r="Y77" s="145"/>
    </row>
    <row r="78" spans="1:25" x14ac:dyDescent="0.25">
      <c r="A78" s="113">
        <v>3</v>
      </c>
      <c r="B78" s="26">
        <v>40</v>
      </c>
      <c r="C78" s="26">
        <v>45</v>
      </c>
      <c r="D78" s="15">
        <v>45</v>
      </c>
      <c r="E78" s="5">
        <v>28</v>
      </c>
      <c r="F78" s="6">
        <v>72.7</v>
      </c>
      <c r="G78" s="5" t="s">
        <v>171</v>
      </c>
      <c r="H78" s="6">
        <v>2.7</v>
      </c>
      <c r="I78" s="10">
        <v>0.84</v>
      </c>
      <c r="J78" s="35">
        <f>IF(OR(E78="",G78=""),"",INDEX(Data!$C$96:$E$107,VLOOKUP('5. Automatik (AEC)'!E78,Data!$A$96:$B$107,2,FALSE),HLOOKUP(G78,Data!$C$94:$E$95,2,FALSE)))</f>
        <v>2.7619999999999999E-2</v>
      </c>
      <c r="K78" s="35">
        <f t="shared" si="3"/>
        <v>2.3345639488846883</v>
      </c>
      <c r="L78" s="35">
        <f>IF(OR(E78="",G78=""),"",INDEX(Data!$J$96:$L$107,VLOOKUP(E78,Data!$H$96:$I$107,2,FALSE),HLOOKUP(G78,Data!$J$94:$L$95,2,FALSE)))</f>
        <v>0.56499999999999995</v>
      </c>
      <c r="M78" s="278">
        <f>IF(OR(E78="",G78=""),"",VLOOKUP('5. Automatik (AEC)'!B78,Data!$V$10:$W$17,2,FALSE))</f>
        <v>0.32045610932499996</v>
      </c>
      <c r="N78" s="278">
        <f>IF(OR(E78="",G78=""),"",VLOOKUP(B78,Data!$V$45:$W$52,2,FALSE))</f>
        <v>1.0348745477499999</v>
      </c>
      <c r="O78" s="35">
        <f>IF(G78="","",VLOOKUP(G78,Data!$A$76:$B$81,2,FALSE))</f>
        <v>1.042</v>
      </c>
      <c r="P78" s="279">
        <f t="shared" si="4"/>
        <v>0.80673287488630163</v>
      </c>
      <c r="Q78" s="31">
        <v>1.6</v>
      </c>
      <c r="R78" s="31">
        <v>2</v>
      </c>
      <c r="S78" s="490" t="str">
        <f t="shared" si="5"/>
        <v>OK</v>
      </c>
      <c r="U78" s="439"/>
      <c r="V78" s="439"/>
      <c r="W78" s="43"/>
      <c r="X78" s="44"/>
      <c r="Y78" s="145"/>
    </row>
    <row r="79" spans="1:25" x14ac:dyDescent="0.25">
      <c r="A79" s="113">
        <v>4</v>
      </c>
      <c r="B79" s="26">
        <v>45</v>
      </c>
      <c r="C79" s="26">
        <v>53</v>
      </c>
      <c r="D79" s="15">
        <v>53</v>
      </c>
      <c r="E79" s="5">
        <v>29</v>
      </c>
      <c r="F79" s="6">
        <v>88.2</v>
      </c>
      <c r="G79" s="5" t="s">
        <v>171</v>
      </c>
      <c r="H79" s="6">
        <v>3.6</v>
      </c>
      <c r="I79" s="10">
        <v>0.99</v>
      </c>
      <c r="J79" s="35">
        <f>IF(OR(E79="",G79=""),"",INDEX(Data!$C$96:$E$107,VLOOKUP('5. Automatik (AEC)'!E79,Data!$A$96:$B$107,2,FALSE),HLOOKUP(G79,Data!$C$94:$E$95,2,FALSE)))</f>
        <v>3.0019999999999998E-2</v>
      </c>
      <c r="K79" s="35">
        <f t="shared" si="3"/>
        <v>3.1658951989026063</v>
      </c>
      <c r="L79" s="26">
        <f>IF(OR(E79="",G79=""),"",INDEX(Data!$J$96:$L$107,VLOOKUP(E79,Data!$H$96:$I$107,2,FALSE),HLOOKUP(G79,Data!$J$94:$L$95,2,FALSE)))</f>
        <v>0.57099999999999995</v>
      </c>
      <c r="M79" s="278">
        <f>IF(OR(E79="",G79=""),"",VLOOKUP('5. Automatik (AEC)'!B79,Data!$V$10:$W$17,2,FALSE))</f>
        <v>0.28025505062849998</v>
      </c>
      <c r="N79" s="278">
        <f>IF(OR(E79="",G79=""),"",VLOOKUP(B79,Data!$V$45:$W$52,2,FALSE))</f>
        <v>1.0895732045201001</v>
      </c>
      <c r="O79" s="35">
        <f>IF(G79="","",VLOOKUP(G79,Data!$A$76:$B$81,2,FALSE))</f>
        <v>1.042</v>
      </c>
      <c r="P79" s="279">
        <f t="shared" si="4"/>
        <v>1.0073354444646405</v>
      </c>
      <c r="Q79" s="31">
        <v>2</v>
      </c>
      <c r="R79" s="31">
        <v>2.5</v>
      </c>
      <c r="S79" s="490" t="str">
        <f t="shared" si="5"/>
        <v>OK</v>
      </c>
      <c r="U79" s="439"/>
      <c r="V79" s="439"/>
      <c r="W79" s="43"/>
      <c r="X79" s="257"/>
      <c r="Y79" s="145"/>
    </row>
    <row r="80" spans="1:25" x14ac:dyDescent="0.25">
      <c r="A80" s="113">
        <v>5</v>
      </c>
      <c r="B80" s="26">
        <v>50</v>
      </c>
      <c r="C80" s="26">
        <v>60</v>
      </c>
      <c r="D80" s="15">
        <v>60</v>
      </c>
      <c r="E80" s="5">
        <v>30</v>
      </c>
      <c r="F80" s="6">
        <v>108</v>
      </c>
      <c r="G80" s="5" t="s">
        <v>171</v>
      </c>
      <c r="H80" s="6">
        <v>4.9000000000000004</v>
      </c>
      <c r="I80" s="10">
        <v>1.19</v>
      </c>
      <c r="J80" s="35">
        <f>IF(OR(E80="",G80=""),"",INDEX(Data!$C$96:$E$107,VLOOKUP('5. Automatik (AEC)'!E80,Data!$A$96:$B$107,2,FALSE),HLOOKUP(G80,Data!$C$94:$E$95,2,FALSE)))</f>
        <v>3.2439999999999997E-2</v>
      </c>
      <c r="K80" s="35">
        <f t="shared" si="3"/>
        <v>4.2944932653061221</v>
      </c>
      <c r="L80" s="26">
        <f>IF(OR(E80="",G80=""),"",INDEX(Data!$J$96:$L$107,VLOOKUP(E80,Data!$H$96:$I$107,2,FALSE),HLOOKUP(G80,Data!$J$94:$L$95,2,FALSE)))</f>
        <v>0.58099999999999996</v>
      </c>
      <c r="M80" s="278">
        <f>IF(OR(E80="",G80=""),"",VLOOKUP('5. Automatik (AEC)'!B80,Data!$V$10:$W$17,2,FALSE))</f>
        <v>0.25118495955959996</v>
      </c>
      <c r="N80" s="278">
        <f>IF(OR(E80="",G80=""),"",VLOOKUP(B80,Data!$V$45:$W$52,2,FALSE))</f>
        <v>1.1343939510843</v>
      </c>
      <c r="O80" s="35">
        <f>IF(G80="","",VLOOKUP(G80,Data!$A$76:$B$81,2,FALSE))</f>
        <v>1.042</v>
      </c>
      <c r="P80" s="279">
        <f t="shared" si="4"/>
        <v>1.2750792497132872</v>
      </c>
      <c r="Q80" s="31">
        <v>2.4</v>
      </c>
      <c r="R80" s="31">
        <v>3</v>
      </c>
      <c r="S80" s="490" t="str">
        <f t="shared" si="5"/>
        <v>OK</v>
      </c>
      <c r="U80" s="439"/>
      <c r="V80" s="439"/>
      <c r="W80" s="43"/>
      <c r="X80" s="44"/>
      <c r="Y80" s="145"/>
    </row>
    <row r="81" spans="1:38" x14ac:dyDescent="0.25">
      <c r="A81" s="113">
        <v>6</v>
      </c>
      <c r="B81" s="26">
        <v>60</v>
      </c>
      <c r="C81" s="26">
        <v>75</v>
      </c>
      <c r="D81" s="15">
        <v>75</v>
      </c>
      <c r="E81" s="5">
        <v>31</v>
      </c>
      <c r="F81" s="6">
        <v>162.5</v>
      </c>
      <c r="G81" s="5" t="s">
        <v>171</v>
      </c>
      <c r="H81" s="6">
        <v>8.4</v>
      </c>
      <c r="I81" s="10">
        <v>1.66</v>
      </c>
      <c r="J81" s="35">
        <f>IF(OR(E81="",G81=""),"",INDEX(Data!$C$96:$E$107,VLOOKUP('5. Automatik (AEC)'!E81,Data!$A$96:$B$107,2,FALSE),HLOOKUP(G81,Data!$C$94:$E$95,2,FALSE)))</f>
        <v>3.5119999999999998E-2</v>
      </c>
      <c r="K81" s="35">
        <f t="shared" si="3"/>
        <v>7.385811968689505</v>
      </c>
      <c r="L81" s="26">
        <f>IF(OR(E81="",G81=""),"",INDEX(Data!$J$96:$L$107,VLOOKUP(E81,Data!$H$96:$I$107,2,FALSE),HLOOKUP(G81,Data!$J$94:$L$95,2,FALSE)))</f>
        <v>0.58499999999999996</v>
      </c>
      <c r="M81" s="278">
        <f>IF(OR(E81="",G81=""),"",VLOOKUP('5. Automatik (AEC)'!B81,Data!$V$10:$W$17,2,FALSE))</f>
        <v>0.20236965103749999</v>
      </c>
      <c r="N81" s="278">
        <f>IF(OR(E81="",G81=""),"",VLOOKUP(B81,Data!$V$45:$W$52,2,FALSE))</f>
        <v>1.2092915038875001</v>
      </c>
      <c r="O81" s="35">
        <f>IF(G81="","",VLOOKUP(G81,Data!$A$76:$B$81,2,FALSE))</f>
        <v>1.042</v>
      </c>
      <c r="P81" s="279">
        <f t="shared" si="4"/>
        <v>1.8833990647121719</v>
      </c>
      <c r="Q81" s="31">
        <v>3.6</v>
      </c>
      <c r="R81" s="31">
        <v>4.5</v>
      </c>
      <c r="S81" s="490" t="str">
        <f t="shared" si="5"/>
        <v>OK</v>
      </c>
      <c r="U81" s="439"/>
      <c r="V81" s="439"/>
      <c r="W81" s="43"/>
      <c r="X81" s="44"/>
      <c r="Y81" s="145"/>
    </row>
    <row r="82" spans="1:38" x14ac:dyDescent="0.25">
      <c r="A82" s="121">
        <v>7</v>
      </c>
      <c r="B82" s="27">
        <v>70</v>
      </c>
      <c r="C82" s="27">
        <v>90</v>
      </c>
      <c r="D82" s="16">
        <v>90</v>
      </c>
      <c r="E82" s="7">
        <v>32</v>
      </c>
      <c r="F82" s="8">
        <v>210.1</v>
      </c>
      <c r="G82" s="7" t="s">
        <v>171</v>
      </c>
      <c r="H82" s="8">
        <v>12.2</v>
      </c>
      <c r="I82" s="11">
        <v>2.0099999999999998</v>
      </c>
      <c r="J82" s="37">
        <f>IF(OR(E82="",G82=""),"",INDEX(Data!$C$96:$E$107,VLOOKUP('5. Automatik (AEC)'!E82,Data!$A$96:$B$107,2,FALSE),HLOOKUP(G82,Data!$C$94:$E$95,2,FALSE)))</f>
        <v>3.7520000000000005E-2</v>
      </c>
      <c r="K82" s="37">
        <f t="shared" si="3"/>
        <v>10.787492875756497</v>
      </c>
      <c r="L82" s="27">
        <f>IF(OR(E82="",G82=""),"",INDEX(Data!$J$96:$L$107,VLOOKUP(E82,Data!$H$96:$I$107,2,FALSE),HLOOKUP(G82,Data!$J$94:$L$95,2,FALSE)))</f>
        <v>0.59699999999999998</v>
      </c>
      <c r="M82" s="280">
        <f>IF(OR(E82="",G82=""),"",VLOOKUP('5. Automatik (AEC)'!B82,Data!$V$10:$W$17,2,FALSE))</f>
        <v>0.16998368735390001</v>
      </c>
      <c r="N82" s="280">
        <f>IF(OR(E82="",G82=""),"",VLOOKUP(B82,Data!$V$45:$W$52,2,FALSE))</f>
        <v>1.2490406060810999</v>
      </c>
      <c r="O82" s="37">
        <f>IF(G82="","",VLOOKUP(G82,Data!$A$76:$B$81,2,FALSE))</f>
        <v>1.042</v>
      </c>
      <c r="P82" s="281">
        <f t="shared" si="4"/>
        <v>2.3865582792108198</v>
      </c>
      <c r="Q82" s="32">
        <v>5.0999999999999996</v>
      </c>
      <c r="R82" s="32">
        <v>6.5</v>
      </c>
      <c r="S82" s="491" t="str">
        <f t="shared" si="5"/>
        <v>OK</v>
      </c>
      <c r="U82" s="439"/>
      <c r="V82" s="439"/>
      <c r="W82" s="43"/>
      <c r="X82" s="44"/>
      <c r="Y82" s="145"/>
    </row>
    <row r="83" spans="1:38" x14ac:dyDescent="0.25">
      <c r="U83" s="145"/>
      <c r="V83" s="145"/>
      <c r="W83" s="145"/>
      <c r="X83" s="145"/>
      <c r="Y83" s="145"/>
    </row>
    <row r="84" spans="1:38" x14ac:dyDescent="0.25">
      <c r="T84" s="126"/>
      <c r="U84" s="145"/>
      <c r="V84" s="145"/>
      <c r="W84" s="43"/>
      <c r="X84" s="43"/>
      <c r="Y84" s="145"/>
      <c r="Z84" s="145"/>
    </row>
    <row r="85" spans="1:38" x14ac:dyDescent="0.25">
      <c r="A85" s="275" t="s">
        <v>474</v>
      </c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26"/>
      <c r="U85" s="145"/>
      <c r="V85" s="145"/>
      <c r="W85" s="43"/>
      <c r="X85" s="43"/>
      <c r="Y85" s="145"/>
      <c r="Z85" s="145"/>
    </row>
    <row r="86" spans="1:38" x14ac:dyDescent="0.25">
      <c r="U86" s="145"/>
      <c r="V86" s="145"/>
      <c r="W86" s="43"/>
      <c r="X86" s="43"/>
      <c r="Y86" s="145"/>
      <c r="Z86" s="145"/>
    </row>
    <row r="87" spans="1:38" x14ac:dyDescent="0.25">
      <c r="A87" s="651">
        <v>620</v>
      </c>
      <c r="B87" s="469" t="s">
        <v>445</v>
      </c>
      <c r="C87" s="469"/>
      <c r="D87" s="469"/>
      <c r="E87" s="469"/>
      <c r="F87" s="469"/>
      <c r="G87" s="469"/>
      <c r="H87" s="469"/>
      <c r="I87" s="469"/>
      <c r="J87" s="469"/>
      <c r="K87" s="469"/>
      <c r="L87" s="469"/>
      <c r="M87" s="469"/>
      <c r="N87" s="469"/>
      <c r="O87" s="469"/>
      <c r="P87" s="469"/>
      <c r="Q87" s="469"/>
      <c r="R87" s="470"/>
      <c r="S87" s="120"/>
      <c r="T87" s="120"/>
      <c r="U87" s="145"/>
      <c r="V87" s="145"/>
      <c r="W87" s="43"/>
      <c r="X87" s="43"/>
      <c r="Y87" s="145"/>
      <c r="Z87" s="145"/>
    </row>
    <row r="88" spans="1:38" x14ac:dyDescent="0.25">
      <c r="A88" s="152" t="s">
        <v>5</v>
      </c>
      <c r="B88" s="152" t="s">
        <v>25</v>
      </c>
      <c r="C88" s="152" t="s">
        <v>59</v>
      </c>
      <c r="D88" s="153" t="s">
        <v>387</v>
      </c>
      <c r="E88" s="152" t="s">
        <v>361</v>
      </c>
      <c r="F88" s="539" t="s">
        <v>347</v>
      </c>
      <c r="G88" s="153" t="s">
        <v>52</v>
      </c>
      <c r="H88" s="539" t="s">
        <v>67</v>
      </c>
      <c r="I88" s="539" t="s">
        <v>67</v>
      </c>
      <c r="J88" s="539" t="s">
        <v>57</v>
      </c>
      <c r="K88" s="539" t="s">
        <v>11</v>
      </c>
      <c r="L88" s="539" t="s">
        <v>54</v>
      </c>
      <c r="M88" s="539" t="s">
        <v>55</v>
      </c>
      <c r="N88" s="539" t="s">
        <v>56</v>
      </c>
      <c r="O88" s="539" t="s">
        <v>57</v>
      </c>
      <c r="P88" s="539" t="s">
        <v>57</v>
      </c>
      <c r="Q88" s="539" t="s">
        <v>57</v>
      </c>
      <c r="R88" s="153" t="s">
        <v>0</v>
      </c>
      <c r="U88" s="145"/>
      <c r="V88" s="145"/>
      <c r="W88" s="145"/>
      <c r="X88" s="145"/>
      <c r="Y88" s="145"/>
      <c r="Z88" s="43"/>
    </row>
    <row r="89" spans="1:38" x14ac:dyDescent="0.25">
      <c r="A89" s="154"/>
      <c r="B89" s="154"/>
      <c r="C89" s="154" t="s">
        <v>386</v>
      </c>
      <c r="D89" s="155" t="s">
        <v>51</v>
      </c>
      <c r="E89" s="154"/>
      <c r="F89" s="155"/>
      <c r="G89" s="155" t="s">
        <v>26</v>
      </c>
      <c r="H89" s="155" t="s">
        <v>3</v>
      </c>
      <c r="I89" s="155" t="s">
        <v>78</v>
      </c>
      <c r="J89" s="155" t="s">
        <v>78</v>
      </c>
      <c r="K89" s="155"/>
      <c r="L89" s="155"/>
      <c r="M89" s="155"/>
      <c r="N89" s="155"/>
      <c r="O89" s="155" t="s">
        <v>61</v>
      </c>
      <c r="P89" s="155" t="s">
        <v>58</v>
      </c>
      <c r="Q89" s="155" t="s">
        <v>381</v>
      </c>
      <c r="R89" s="155"/>
      <c r="U89" s="165"/>
      <c r="V89" s="145"/>
      <c r="W89" s="145"/>
      <c r="X89" s="145"/>
      <c r="Y89" s="145"/>
      <c r="Z89" s="43"/>
    </row>
    <row r="90" spans="1:38" x14ac:dyDescent="0.25">
      <c r="A90" s="154"/>
      <c r="B90" s="154"/>
      <c r="C90" s="154"/>
      <c r="D90" s="533" t="s">
        <v>53</v>
      </c>
      <c r="E90" s="154"/>
      <c r="F90" s="154"/>
      <c r="G90" s="155"/>
      <c r="H90" s="155" t="s">
        <v>15</v>
      </c>
      <c r="I90" s="155" t="s">
        <v>13</v>
      </c>
      <c r="J90" s="155" t="s">
        <v>13</v>
      </c>
      <c r="K90" s="155"/>
      <c r="L90" s="155"/>
      <c r="M90" s="155"/>
      <c r="N90" s="155"/>
      <c r="O90" s="155"/>
      <c r="P90" s="155" t="s">
        <v>62</v>
      </c>
      <c r="Q90" s="155"/>
      <c r="R90" s="155"/>
      <c r="U90" s="165"/>
      <c r="V90" s="145"/>
      <c r="W90" s="145"/>
      <c r="X90" s="145"/>
      <c r="Y90" s="145"/>
      <c r="Z90" s="145"/>
    </row>
    <row r="91" spans="1:38" x14ac:dyDescent="0.25">
      <c r="A91" s="156"/>
      <c r="B91" s="156" t="s">
        <v>83</v>
      </c>
      <c r="C91" s="156" t="s">
        <v>83</v>
      </c>
      <c r="D91" s="156" t="s">
        <v>83</v>
      </c>
      <c r="E91" s="156" t="s">
        <v>344</v>
      </c>
      <c r="F91" s="156" t="s">
        <v>332</v>
      </c>
      <c r="G91" s="157"/>
      <c r="H91" s="157" t="s">
        <v>310</v>
      </c>
      <c r="I91" s="157" t="s">
        <v>310</v>
      </c>
      <c r="J91" s="157" t="s">
        <v>310</v>
      </c>
      <c r="K91" s="156" t="s">
        <v>322</v>
      </c>
      <c r="L91" s="157"/>
      <c r="M91" s="157"/>
      <c r="N91" s="156"/>
      <c r="O91" s="157" t="s">
        <v>310</v>
      </c>
      <c r="P91" s="157" t="s">
        <v>310</v>
      </c>
      <c r="Q91" s="157" t="s">
        <v>310</v>
      </c>
      <c r="R91" s="157"/>
      <c r="U91" s="43"/>
      <c r="V91" s="145"/>
      <c r="W91" s="43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</row>
    <row r="92" spans="1:38" x14ac:dyDescent="0.25">
      <c r="A92" s="220">
        <v>1</v>
      </c>
      <c r="B92" s="307">
        <v>20</v>
      </c>
      <c r="C92" s="307">
        <v>21</v>
      </c>
      <c r="D92" s="308">
        <v>21</v>
      </c>
      <c r="E92" s="3">
        <v>26</v>
      </c>
      <c r="F92" s="309">
        <v>29.9</v>
      </c>
      <c r="G92" s="3" t="s">
        <v>171</v>
      </c>
      <c r="H92" s="310">
        <v>0.7195556948880093</v>
      </c>
      <c r="I92" s="309">
        <v>0.8</v>
      </c>
      <c r="J92" s="311">
        <v>0.46</v>
      </c>
      <c r="K92" s="310">
        <v>0.54100000000000004</v>
      </c>
      <c r="L92" s="312">
        <f>IF(OR(E92="",G92=""),"",VLOOKUP('5. Automatik (AEC)'!B92,Data!$Z$10:$AA$17,2,FALSE))</f>
        <v>0.55321597674590006</v>
      </c>
      <c r="M92" s="312">
        <f>IF(OR(E92="",G92=""),"",VLOOKUP(B92,Data!$Z$45:$AA$52,2,FALSE))</f>
        <v>0.91605722762310005</v>
      </c>
      <c r="N92" s="313">
        <f>IF(G92="","",VLOOKUP(G92,Data!$A$76:$B$81,2,FALSE))</f>
        <v>1.042</v>
      </c>
      <c r="O92" s="314">
        <f t="shared" ref="O92:O98" si="6">IF(OR(E92="",G92=""),"",H92*L92*M92*N92)</f>
        <v>0.37997012633742799</v>
      </c>
      <c r="P92" s="30">
        <v>0.8</v>
      </c>
      <c r="Q92" s="30">
        <v>1.2</v>
      </c>
      <c r="R92" s="489" t="str">
        <f>IF(OR(D92="",G92=""),"",IF(O92&lt;P92,"OK",IF(AND(O92&gt;P92,O92&lt;Q92),"NB!","IKKE OK")))</f>
        <v>OK</v>
      </c>
      <c r="U92" s="439"/>
      <c r="V92" s="439"/>
      <c r="W92" s="43"/>
      <c r="X92" s="145"/>
      <c r="Y92" s="145"/>
      <c r="Z92" s="242"/>
      <c r="AA92" s="242"/>
      <c r="AB92" s="47"/>
      <c r="AC92" s="47"/>
      <c r="AD92" s="45"/>
      <c r="AE92" s="44"/>
      <c r="AF92" s="250"/>
      <c r="AG92" s="250"/>
      <c r="AH92" s="44"/>
      <c r="AI92" s="306"/>
      <c r="AJ92" s="145"/>
      <c r="AK92" s="145"/>
      <c r="AL92" s="145"/>
    </row>
    <row r="93" spans="1:38" x14ac:dyDescent="0.25">
      <c r="A93" s="223">
        <v>2</v>
      </c>
      <c r="B93" s="315">
        <v>30</v>
      </c>
      <c r="C93" s="315">
        <v>32</v>
      </c>
      <c r="D93" s="316">
        <v>32</v>
      </c>
      <c r="E93" s="5">
        <v>27</v>
      </c>
      <c r="F93" s="317">
        <v>46.5</v>
      </c>
      <c r="G93" s="5" t="s">
        <v>171</v>
      </c>
      <c r="H93" s="318">
        <v>1.3005015119262722</v>
      </c>
      <c r="I93" s="317">
        <v>1.5</v>
      </c>
      <c r="J93" s="319">
        <v>0.61</v>
      </c>
      <c r="K93" s="318">
        <v>0.55200000000000005</v>
      </c>
      <c r="L93" s="320">
        <f>IF(OR(E93="",G93=""),"",VLOOKUP('5. Automatik (AEC)'!B93,Data!$Z$10:$AA$17,2,FALSE))</f>
        <v>0.41953613701120007</v>
      </c>
      <c r="M93" s="320">
        <f>IF(OR(E93="",G93=""),"",VLOOKUP(B93,Data!$Z$45:$AA$52,2,FALSE))</f>
        <v>0.951344436224</v>
      </c>
      <c r="N93" s="321">
        <f>IF(G93="","",VLOOKUP(G93,Data!$A$76:$B$81,2,FALSE))</f>
        <v>1.042</v>
      </c>
      <c r="O93" s="322">
        <f t="shared" si="6"/>
        <v>0.54086108871593952</v>
      </c>
      <c r="P93" s="31">
        <v>1</v>
      </c>
      <c r="Q93" s="31">
        <v>1.5</v>
      </c>
      <c r="R93" s="490" t="str">
        <f t="shared" ref="R93:R98" si="7">IF(OR(D93="",G93=""),"",IF(O93&lt;P93,"OK",IF(AND(O93&gt;P93,O93&lt;Q93),"NB!","IKKE OK")))</f>
        <v>OK</v>
      </c>
      <c r="U93" s="145"/>
      <c r="V93" s="439"/>
      <c r="W93" s="43"/>
      <c r="X93" s="145"/>
      <c r="Y93" s="145"/>
      <c r="Z93" s="242"/>
      <c r="AA93" s="242"/>
      <c r="AB93" s="47"/>
      <c r="AC93" s="242"/>
      <c r="AD93" s="45"/>
      <c r="AE93" s="44"/>
      <c r="AF93" s="44"/>
      <c r="AG93" s="44"/>
      <c r="AH93" s="44"/>
      <c r="AI93" s="306"/>
      <c r="AJ93" s="145"/>
      <c r="AK93" s="145"/>
      <c r="AL93" s="145"/>
    </row>
    <row r="94" spans="1:38" x14ac:dyDescent="0.25">
      <c r="A94" s="223">
        <v>3</v>
      </c>
      <c r="B94" s="315">
        <v>40</v>
      </c>
      <c r="C94" s="315">
        <v>45</v>
      </c>
      <c r="D94" s="316">
        <v>45</v>
      </c>
      <c r="E94" s="5">
        <v>28</v>
      </c>
      <c r="F94" s="317">
        <v>72.7</v>
      </c>
      <c r="G94" s="5" t="s">
        <v>171</v>
      </c>
      <c r="H94" s="318">
        <v>2.3259560935076125</v>
      </c>
      <c r="I94" s="317">
        <v>2.7</v>
      </c>
      <c r="J94" s="319">
        <v>0.84</v>
      </c>
      <c r="K94" s="318">
        <v>0.56499999999999995</v>
      </c>
      <c r="L94" s="320">
        <f>IF(OR(E94="",G94=""),"",VLOOKUP('5. Automatik (AEC)'!B94,Data!$Z$10:$AA$17,2,FALSE))</f>
        <v>0.32045610932499996</v>
      </c>
      <c r="M94" s="320">
        <f>IF(OR(E94="",G94=""),"",VLOOKUP(B94,Data!$Z$45:$AA$52,2,FALSE))</f>
        <v>1.0348745477499999</v>
      </c>
      <c r="N94" s="321">
        <f>IF(G94="","",VLOOKUP(G94,Data!$A$76:$B$81,2,FALSE))</f>
        <v>1.042</v>
      </c>
      <c r="O94" s="322">
        <f t="shared" si="6"/>
        <v>0.80375834085468012</v>
      </c>
      <c r="P94" s="31">
        <v>1.6</v>
      </c>
      <c r="Q94" s="31">
        <v>2</v>
      </c>
      <c r="R94" s="490" t="str">
        <f t="shared" si="7"/>
        <v>OK</v>
      </c>
      <c r="U94" s="145"/>
      <c r="V94" s="439"/>
      <c r="W94" s="43"/>
      <c r="X94" s="145"/>
      <c r="Y94" s="145"/>
      <c r="Z94" s="242"/>
      <c r="AA94" s="242"/>
      <c r="AB94" s="47"/>
      <c r="AC94" s="242"/>
      <c r="AD94" s="45"/>
      <c r="AE94" s="44"/>
      <c r="AF94" s="44"/>
      <c r="AG94" s="44"/>
      <c r="AH94" s="44"/>
      <c r="AI94" s="306"/>
      <c r="AJ94" s="145"/>
      <c r="AK94" s="145"/>
      <c r="AL94" s="145"/>
    </row>
    <row r="95" spans="1:38" x14ac:dyDescent="0.25">
      <c r="A95" s="223">
        <v>4</v>
      </c>
      <c r="B95" s="315">
        <v>45</v>
      </c>
      <c r="C95" s="315">
        <v>53</v>
      </c>
      <c r="D95" s="316">
        <v>53</v>
      </c>
      <c r="E95" s="5">
        <v>29</v>
      </c>
      <c r="F95" s="317">
        <v>88.2</v>
      </c>
      <c r="G95" s="5" t="s">
        <v>171</v>
      </c>
      <c r="H95" s="318">
        <v>3.1519604129025396</v>
      </c>
      <c r="I95" s="317">
        <v>3.6</v>
      </c>
      <c r="J95" s="319">
        <v>0.99</v>
      </c>
      <c r="K95" s="318">
        <v>0.57099999999999995</v>
      </c>
      <c r="L95" s="320">
        <f>IF(OR(E95="",G95=""),"",VLOOKUP('5. Automatik (AEC)'!B95,Data!$Z$10:$AA$17,2,FALSE))</f>
        <v>0.28025505062849998</v>
      </c>
      <c r="M95" s="320">
        <f>IF(OR(E95="",G95=""),"",VLOOKUP(B95,Data!$Z$45:$AA$52,2,FALSE))</f>
        <v>1.0895732045201001</v>
      </c>
      <c r="N95" s="321">
        <f>IF(G95="","",VLOOKUP(G95,Data!$A$76:$B$81,2,FALSE))</f>
        <v>1.042</v>
      </c>
      <c r="O95" s="322">
        <f t="shared" si="6"/>
        <v>1.0029016262340933</v>
      </c>
      <c r="P95" s="31">
        <v>2</v>
      </c>
      <c r="Q95" s="31">
        <v>2.5</v>
      </c>
      <c r="R95" s="490" t="str">
        <f t="shared" si="7"/>
        <v>OK</v>
      </c>
      <c r="U95" s="145"/>
      <c r="V95" s="439"/>
      <c r="W95" s="43"/>
      <c r="X95" s="145"/>
      <c r="Y95" s="145"/>
      <c r="Z95" s="242"/>
      <c r="AA95" s="242"/>
      <c r="AB95" s="47"/>
      <c r="AC95" s="242"/>
      <c r="AD95" s="45"/>
      <c r="AE95" s="44"/>
      <c r="AF95" s="245"/>
      <c r="AG95" s="257"/>
      <c r="AH95" s="44"/>
      <c r="AI95" s="306"/>
      <c r="AJ95" s="145"/>
      <c r="AK95" s="145"/>
      <c r="AL95" s="145"/>
    </row>
    <row r="96" spans="1:38" x14ac:dyDescent="0.25">
      <c r="A96" s="223">
        <v>5</v>
      </c>
      <c r="B96" s="315">
        <v>50</v>
      </c>
      <c r="C96" s="315">
        <v>60</v>
      </c>
      <c r="D96" s="316">
        <v>60</v>
      </c>
      <c r="E96" s="5">
        <v>30</v>
      </c>
      <c r="F96" s="317">
        <v>108</v>
      </c>
      <c r="G96" s="5" t="s">
        <v>171</v>
      </c>
      <c r="H96" s="318">
        <v>4.2728373595463136</v>
      </c>
      <c r="I96" s="317">
        <v>4.9000000000000004</v>
      </c>
      <c r="J96" s="319">
        <v>1.19</v>
      </c>
      <c r="K96" s="318">
        <v>0.58099999999999996</v>
      </c>
      <c r="L96" s="320">
        <f>IF(OR(E96="",G96=""),"",VLOOKUP('5. Automatik (AEC)'!B96,Data!$Z$10:$AA$17,2,FALSE))</f>
        <v>0.25118495955959996</v>
      </c>
      <c r="M96" s="320">
        <f>IF(OR(E96="",G96=""),"",VLOOKUP(B96,Data!$Z$45:$AA$52,2,FALSE))</f>
        <v>1.1343939510843</v>
      </c>
      <c r="N96" s="321">
        <f>IF(G96="","",VLOOKUP(G96,Data!$A$76:$B$81,2,FALSE))</f>
        <v>1.042</v>
      </c>
      <c r="O96" s="322">
        <f t="shared" si="6"/>
        <v>1.2686493884090086</v>
      </c>
      <c r="P96" s="31">
        <v>2.4</v>
      </c>
      <c r="Q96" s="31">
        <v>3</v>
      </c>
      <c r="R96" s="490" t="str">
        <f t="shared" si="7"/>
        <v>OK</v>
      </c>
      <c r="U96" s="145"/>
      <c r="V96" s="439"/>
      <c r="W96" s="43"/>
      <c r="X96" s="145"/>
      <c r="Y96" s="145"/>
      <c r="Z96" s="242"/>
      <c r="AA96" s="242"/>
      <c r="AB96" s="47"/>
      <c r="AC96" s="242"/>
      <c r="AD96" s="45"/>
      <c r="AE96" s="44"/>
      <c r="AF96" s="44"/>
      <c r="AG96" s="44"/>
      <c r="AH96" s="44"/>
      <c r="AI96" s="306"/>
      <c r="AJ96" s="145"/>
      <c r="AK96" s="145"/>
      <c r="AL96" s="145"/>
    </row>
    <row r="97" spans="1:38" x14ac:dyDescent="0.25">
      <c r="A97" s="223">
        <v>6</v>
      </c>
      <c r="B97" s="315">
        <v>60</v>
      </c>
      <c r="C97" s="315">
        <v>75</v>
      </c>
      <c r="D97" s="316">
        <v>75</v>
      </c>
      <c r="E97" s="5">
        <v>31</v>
      </c>
      <c r="F97" s="317">
        <v>162.5</v>
      </c>
      <c r="G97" s="5" t="s">
        <v>171</v>
      </c>
      <c r="H97" s="318">
        <v>7.3380263871173463</v>
      </c>
      <c r="I97" s="317">
        <v>8.4</v>
      </c>
      <c r="J97" s="319">
        <v>1.66</v>
      </c>
      <c r="K97" s="318">
        <v>0.58499999999999996</v>
      </c>
      <c r="L97" s="320">
        <f>IF(OR(E97="",G97=""),"",VLOOKUP('5. Automatik (AEC)'!B97,Data!$Z$10:$AA$17,2,FALSE))</f>
        <v>0.20236965103749999</v>
      </c>
      <c r="M97" s="320">
        <f>IF(OR(E97="",G97=""),"",VLOOKUP(B97,Data!$Z$45:$AA$52,2,FALSE))</f>
        <v>1.2092915038875001</v>
      </c>
      <c r="N97" s="321">
        <f>IF(G97="","",VLOOKUP(G97,Data!$A$76:$B$81,2,FALSE))</f>
        <v>1.042</v>
      </c>
      <c r="O97" s="322">
        <f t="shared" si="6"/>
        <v>1.8712136313405583</v>
      </c>
      <c r="P97" s="31">
        <v>3.6</v>
      </c>
      <c r="Q97" s="31">
        <v>4.5</v>
      </c>
      <c r="R97" s="490" t="str">
        <f t="shared" si="7"/>
        <v>OK</v>
      </c>
      <c r="U97" s="145"/>
      <c r="V97" s="439"/>
      <c r="W97" s="43"/>
      <c r="X97" s="145"/>
      <c r="Y97" s="145"/>
      <c r="Z97" s="242"/>
      <c r="AA97" s="242"/>
      <c r="AB97" s="47"/>
      <c r="AC97" s="242"/>
      <c r="AD97" s="45"/>
      <c r="AE97" s="44"/>
      <c r="AF97" s="44"/>
      <c r="AG97" s="44"/>
      <c r="AH97" s="44"/>
      <c r="AI97" s="306"/>
      <c r="AJ97" s="145"/>
      <c r="AK97" s="145"/>
      <c r="AL97" s="145"/>
    </row>
    <row r="98" spans="1:38" x14ac:dyDescent="0.25">
      <c r="A98" s="226">
        <v>7</v>
      </c>
      <c r="B98" s="323">
        <v>70</v>
      </c>
      <c r="C98" s="323">
        <v>90</v>
      </c>
      <c r="D98" s="324">
        <v>90</v>
      </c>
      <c r="E98" s="7">
        <v>32</v>
      </c>
      <c r="F98" s="325">
        <v>210.1</v>
      </c>
      <c r="G98" s="7" t="s">
        <v>171</v>
      </c>
      <c r="H98" s="326">
        <v>10.701467284572004</v>
      </c>
      <c r="I98" s="325">
        <v>12.2</v>
      </c>
      <c r="J98" s="327">
        <v>2.0099999999999998</v>
      </c>
      <c r="K98" s="326">
        <v>0.59699999999999998</v>
      </c>
      <c r="L98" s="328">
        <f>IF(OR(E98="",G98=""),"",VLOOKUP('5. Automatik (AEC)'!B98,Data!$Z$10:$AA$17,2,FALSE))</f>
        <v>0.16998368735390001</v>
      </c>
      <c r="M98" s="328">
        <f>IF(OR(E98="",G98=""),"",VLOOKUP(B98,Data!$Z$45:$AA$52,2,FALSE))</f>
        <v>1.2490406060810999</v>
      </c>
      <c r="N98" s="329">
        <f>IF(G98="","",VLOOKUP(G98,Data!$A$76:$B$81,2,FALSE))</f>
        <v>1.042</v>
      </c>
      <c r="O98" s="330">
        <f t="shared" si="6"/>
        <v>2.3675265088792021</v>
      </c>
      <c r="P98" s="32">
        <v>5.0999999999999996</v>
      </c>
      <c r="Q98" s="32">
        <v>6.5</v>
      </c>
      <c r="R98" s="491" t="str">
        <f t="shared" si="7"/>
        <v>OK</v>
      </c>
      <c r="U98" s="145"/>
      <c r="V98" s="439"/>
      <c r="W98" s="43"/>
      <c r="X98" s="145"/>
      <c r="Y98" s="145"/>
      <c r="Z98" s="242"/>
      <c r="AA98" s="242"/>
      <c r="AB98" s="47"/>
      <c r="AC98" s="242"/>
      <c r="AD98" s="45"/>
      <c r="AE98" s="44"/>
      <c r="AF98" s="44"/>
      <c r="AG98" s="44"/>
      <c r="AH98" s="44"/>
      <c r="AI98" s="306"/>
      <c r="AJ98" s="145"/>
      <c r="AK98" s="145"/>
      <c r="AL98" s="145"/>
    </row>
    <row r="99" spans="1:38" x14ac:dyDescent="0.25"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</row>
    <row r="100" spans="1:38" x14ac:dyDescent="0.25">
      <c r="Z100" s="43"/>
      <c r="AA100" s="44"/>
      <c r="AB100" s="145"/>
    </row>
    <row r="101" spans="1:38" ht="18.75" x14ac:dyDescent="0.3">
      <c r="A101" s="116" t="s">
        <v>342</v>
      </c>
      <c r="B101" s="137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26"/>
      <c r="U101" s="126"/>
      <c r="Z101" s="43"/>
      <c r="AA101" s="44"/>
      <c r="AB101" s="145"/>
    </row>
    <row r="102" spans="1:38" x14ac:dyDescent="0.25">
      <c r="T102" s="126"/>
      <c r="U102" s="126"/>
      <c r="Z102" s="43"/>
      <c r="AA102" s="44"/>
      <c r="AB102" s="145"/>
    </row>
    <row r="103" spans="1:38" x14ac:dyDescent="0.25">
      <c r="A103" s="138" t="s">
        <v>475</v>
      </c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8" t="s">
        <v>421</v>
      </c>
      <c r="O103" s="139"/>
      <c r="P103" s="139"/>
      <c r="Q103" s="139"/>
      <c r="R103" s="139"/>
      <c r="S103" s="139"/>
      <c r="T103" s="145"/>
      <c r="U103" s="145"/>
      <c r="Z103" s="43"/>
      <c r="AA103" s="44"/>
      <c r="AB103" s="145"/>
    </row>
    <row r="104" spans="1:38" x14ac:dyDescent="0.25">
      <c r="A104" s="141" t="s">
        <v>307</v>
      </c>
      <c r="B104" s="119" t="s">
        <v>318</v>
      </c>
      <c r="C104" s="119"/>
      <c r="D104" s="119"/>
      <c r="E104" s="203"/>
      <c r="F104" s="119"/>
      <c r="G104" s="119"/>
      <c r="H104" s="119"/>
      <c r="I104" s="119"/>
      <c r="J104" s="119"/>
      <c r="K104" s="119"/>
      <c r="L104" s="119"/>
      <c r="M104" s="119"/>
      <c r="N104" s="590"/>
      <c r="O104" s="591"/>
      <c r="P104" s="591"/>
      <c r="Q104" s="591"/>
      <c r="R104" s="591"/>
      <c r="S104" s="592"/>
      <c r="T104" s="145"/>
      <c r="U104" s="145"/>
      <c r="Z104" s="43"/>
      <c r="AA104" s="44"/>
      <c r="AB104" s="145"/>
    </row>
    <row r="105" spans="1:38" x14ac:dyDescent="0.25">
      <c r="A105" s="713" t="s">
        <v>560</v>
      </c>
      <c r="B105" s="713" t="s">
        <v>561</v>
      </c>
      <c r="C105" s="120"/>
      <c r="D105" s="120"/>
      <c r="E105" s="206"/>
      <c r="F105" s="120"/>
      <c r="G105" s="120"/>
      <c r="H105" s="120"/>
      <c r="I105" s="120"/>
      <c r="J105" s="120"/>
      <c r="K105" s="120"/>
      <c r="L105" s="120"/>
      <c r="M105" s="120"/>
      <c r="N105" s="652"/>
      <c r="O105" s="653"/>
      <c r="P105" s="653"/>
      <c r="Q105" s="653"/>
      <c r="R105" s="653"/>
      <c r="S105" s="654"/>
      <c r="T105" s="145"/>
      <c r="U105" s="145"/>
      <c r="Z105" s="43"/>
      <c r="AA105" s="44"/>
      <c r="AB105" s="145"/>
    </row>
    <row r="106" spans="1:38" x14ac:dyDescent="0.25">
      <c r="A106" s="164" t="s">
        <v>308</v>
      </c>
      <c r="B106" s="120" t="s">
        <v>476</v>
      </c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593"/>
      <c r="O106" s="594"/>
      <c r="P106" s="594"/>
      <c r="Q106" s="594"/>
      <c r="R106" s="594"/>
      <c r="S106" s="595"/>
      <c r="T106" s="145"/>
      <c r="U106" s="145"/>
      <c r="Z106" s="145"/>
      <c r="AA106" s="145"/>
      <c r="AB106" s="145"/>
    </row>
    <row r="107" spans="1:38" x14ac:dyDescent="0.25">
      <c r="A107" s="164"/>
      <c r="B107" s="120" t="s">
        <v>477</v>
      </c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593"/>
      <c r="O107" s="594"/>
      <c r="P107" s="594"/>
      <c r="Q107" s="594"/>
      <c r="R107" s="594"/>
      <c r="S107" s="595"/>
      <c r="T107" s="145"/>
      <c r="U107" s="145"/>
      <c r="Z107" s="145"/>
      <c r="AA107" s="145"/>
      <c r="AB107" s="145"/>
    </row>
    <row r="108" spans="1:38" x14ac:dyDescent="0.25">
      <c r="A108" s="164" t="s">
        <v>76</v>
      </c>
      <c r="B108" s="120" t="s">
        <v>626</v>
      </c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593"/>
      <c r="O108" s="594"/>
      <c r="P108" s="594"/>
      <c r="Q108" s="594"/>
      <c r="R108" s="594"/>
      <c r="S108" s="595"/>
      <c r="T108" s="145"/>
      <c r="U108" s="145"/>
    </row>
    <row r="109" spans="1:38" x14ac:dyDescent="0.25">
      <c r="A109" s="160" t="s">
        <v>100</v>
      </c>
      <c r="B109" s="270" t="s">
        <v>627</v>
      </c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574"/>
      <c r="O109" s="543"/>
      <c r="P109" s="543"/>
      <c r="Q109" s="543"/>
      <c r="R109" s="543"/>
      <c r="S109" s="575"/>
      <c r="T109" s="145"/>
      <c r="U109" s="158"/>
    </row>
    <row r="110" spans="1:38" x14ac:dyDescent="0.25">
      <c r="T110" s="126"/>
      <c r="U110" s="126"/>
    </row>
    <row r="111" spans="1:38" x14ac:dyDescent="0.25">
      <c r="A111" s="150" t="s">
        <v>478</v>
      </c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45"/>
      <c r="U111" s="145"/>
    </row>
    <row r="113" spans="1:23" x14ac:dyDescent="0.25">
      <c r="A113" s="331" t="s">
        <v>262</v>
      </c>
      <c r="B113" s="119" t="s">
        <v>266</v>
      </c>
      <c r="C113" s="119"/>
      <c r="D113" s="119"/>
      <c r="E113" s="182"/>
      <c r="F113" s="119"/>
      <c r="G113" s="119"/>
      <c r="H113" s="282"/>
      <c r="I113" s="182"/>
      <c r="J113" s="142"/>
      <c r="K113" s="119"/>
      <c r="L113" s="282"/>
      <c r="N113" s="126"/>
      <c r="O113" s="126"/>
      <c r="P113" s="126"/>
      <c r="Q113" s="126"/>
      <c r="R113" s="126"/>
      <c r="S113" s="126"/>
    </row>
    <row r="114" spans="1:23" x14ac:dyDescent="0.25">
      <c r="A114" s="455"/>
      <c r="B114" s="120"/>
      <c r="C114" s="120"/>
      <c r="D114" s="120"/>
      <c r="E114" s="164"/>
      <c r="F114" s="120"/>
      <c r="G114" s="120"/>
      <c r="H114" s="146"/>
      <c r="I114" s="120"/>
      <c r="J114" s="120"/>
      <c r="K114" s="120"/>
      <c r="L114" s="146"/>
      <c r="N114" s="126"/>
      <c r="O114" s="126"/>
      <c r="P114" s="126"/>
      <c r="Q114" s="126"/>
      <c r="R114" s="126"/>
      <c r="S114" s="126"/>
    </row>
    <row r="115" spans="1:23" x14ac:dyDescent="0.25">
      <c r="A115" s="152" t="s">
        <v>5</v>
      </c>
      <c r="B115" s="152" t="s">
        <v>59</v>
      </c>
      <c r="C115" s="152" t="s">
        <v>25</v>
      </c>
      <c r="D115" s="153" t="s">
        <v>387</v>
      </c>
      <c r="E115" s="539" t="s">
        <v>57</v>
      </c>
      <c r="F115" s="539" t="s">
        <v>57</v>
      </c>
      <c r="G115" s="539" t="s">
        <v>57</v>
      </c>
      <c r="H115" s="153" t="s">
        <v>0</v>
      </c>
      <c r="I115" s="539" t="s">
        <v>67</v>
      </c>
      <c r="J115" s="539" t="s">
        <v>67</v>
      </c>
      <c r="K115" s="539" t="s">
        <v>67</v>
      </c>
      <c r="L115" s="153" t="s">
        <v>0</v>
      </c>
      <c r="M115" s="165"/>
      <c r="N115" s="165"/>
      <c r="O115" s="165"/>
      <c r="P115" s="165"/>
      <c r="Q115" s="145"/>
      <c r="R115" s="145"/>
      <c r="S115" s="145"/>
      <c r="T115" s="145"/>
      <c r="U115" s="145"/>
    </row>
    <row r="116" spans="1:23" x14ac:dyDescent="0.25">
      <c r="A116" s="154"/>
      <c r="B116" s="154" t="s">
        <v>386</v>
      </c>
      <c r="C116" s="154"/>
      <c r="D116" s="155" t="s">
        <v>334</v>
      </c>
      <c r="E116" s="155" t="s">
        <v>61</v>
      </c>
      <c r="F116" s="155" t="s">
        <v>78</v>
      </c>
      <c r="G116" s="155" t="s">
        <v>349</v>
      </c>
      <c r="H116" s="155"/>
      <c r="I116" s="155" t="s">
        <v>61</v>
      </c>
      <c r="J116" s="155" t="s">
        <v>78</v>
      </c>
      <c r="K116" s="155" t="s">
        <v>349</v>
      </c>
      <c r="L116" s="155"/>
      <c r="M116" s="165"/>
      <c r="N116" s="165"/>
      <c r="O116" s="165"/>
      <c r="P116" s="444"/>
      <c r="Q116" s="145"/>
      <c r="R116" s="145"/>
      <c r="S116" s="145"/>
      <c r="T116" s="145"/>
      <c r="U116" s="145"/>
      <c r="V116" s="126"/>
      <c r="W116" s="126"/>
    </row>
    <row r="117" spans="1:23" x14ac:dyDescent="0.25">
      <c r="A117" s="154"/>
      <c r="B117" s="154"/>
      <c r="C117" s="154"/>
      <c r="D117" s="533" t="s">
        <v>53</v>
      </c>
      <c r="E117" s="155"/>
      <c r="F117" s="155" t="s">
        <v>13</v>
      </c>
      <c r="G117" s="155"/>
      <c r="H117" s="155"/>
      <c r="I117" s="155"/>
      <c r="J117" s="155" t="s">
        <v>13</v>
      </c>
      <c r="K117" s="155"/>
      <c r="L117" s="155"/>
      <c r="M117" s="165"/>
      <c r="N117" s="165"/>
      <c r="O117" s="165"/>
      <c r="P117" s="165"/>
      <c r="Q117" s="145"/>
      <c r="R117" s="145"/>
      <c r="S117" s="145"/>
      <c r="T117" s="145"/>
      <c r="U117" s="145"/>
      <c r="V117" s="145"/>
      <c r="W117" s="145"/>
    </row>
    <row r="118" spans="1:23" x14ac:dyDescent="0.25">
      <c r="A118" s="156"/>
      <c r="B118" s="156" t="s">
        <v>83</v>
      </c>
      <c r="C118" s="156" t="s">
        <v>83</v>
      </c>
      <c r="D118" s="156" t="s">
        <v>83</v>
      </c>
      <c r="E118" s="157" t="s">
        <v>310</v>
      </c>
      <c r="F118" s="157" t="s">
        <v>310</v>
      </c>
      <c r="G118" s="156" t="s">
        <v>311</v>
      </c>
      <c r="H118" s="156"/>
      <c r="I118" s="157" t="s">
        <v>310</v>
      </c>
      <c r="J118" s="157" t="s">
        <v>310</v>
      </c>
      <c r="K118" s="156" t="s">
        <v>311</v>
      </c>
      <c r="L118" s="156"/>
      <c r="M118" s="165"/>
      <c r="N118" s="165"/>
      <c r="O118" s="43"/>
      <c r="P118" s="43"/>
      <c r="Q118" s="145"/>
      <c r="R118" s="145"/>
      <c r="S118" s="145"/>
      <c r="T118" s="145"/>
      <c r="U118" s="145"/>
      <c r="V118" s="126"/>
      <c r="W118" s="145"/>
    </row>
    <row r="119" spans="1:23" x14ac:dyDescent="0.25">
      <c r="A119" s="18">
        <v>1</v>
      </c>
      <c r="B119" s="25">
        <v>21</v>
      </c>
      <c r="C119" s="25">
        <v>20</v>
      </c>
      <c r="D119" s="283">
        <f t="shared" ref="D119:D125" si="8">IF($A$113="4.2 A",IF(D76="","",D76),IF(D92="","",D92))</f>
        <v>21</v>
      </c>
      <c r="E119" s="332">
        <f t="shared" ref="E119:E125" si="9">IF($A$113="","",IF($A$113="5.2 A",IF(P76="","",P76),IF(O92="","",O92)))</f>
        <v>0.38059973290370713</v>
      </c>
      <c r="F119" s="332">
        <f t="shared" ref="F119:F125" si="10">IF($A$113="","",IF($A$113="5.2 A",IF(I76="","",I76),IF(J92="","",J92)))</f>
        <v>0.46</v>
      </c>
      <c r="G119" s="30">
        <f>IF(OR(E119="",F119=""),"",(F119/E119-1)*100)</f>
        <v>20.861881980453578</v>
      </c>
      <c r="H119" s="489" t="str">
        <f>IF(OR(E119="",F119=""),"",IF(ABS(G119)&gt;20,"IKKE OK","OK"))</f>
        <v>IKKE OK</v>
      </c>
      <c r="I119" s="332">
        <f t="shared" ref="I119:I125" si="11">IF($A$113="","",IF($A$113="5.2 A",IF(K76="","",K76),IF(H92="","",H92)))</f>
        <v>0.72074799122633437</v>
      </c>
      <c r="J119" s="332">
        <f t="shared" ref="J119:J125" si="12">IF($A$113="","",IF($A$113="5.2 A",IF(H76="","",H76),IF(I92="","",I92)))</f>
        <v>0.8</v>
      </c>
      <c r="K119" s="30">
        <f>IF(OR(I119="",J119=""),"",(J119/I119-1)*100)</f>
        <v>10.99580016016699</v>
      </c>
      <c r="L119" s="489" t="str">
        <f>IF(OR(I119="",J119=""),"",IF(ABS(K119)&gt;20,"IKKE OK","OK"))</f>
        <v>OK</v>
      </c>
      <c r="M119" s="250"/>
      <c r="N119" s="250"/>
      <c r="O119" s="47"/>
      <c r="P119" s="47"/>
      <c r="Q119" s="145"/>
      <c r="R119" s="145"/>
      <c r="S119" s="145"/>
      <c r="T119" s="145"/>
      <c r="U119" s="44"/>
      <c r="V119" s="44"/>
      <c r="W119" s="145"/>
    </row>
    <row r="120" spans="1:23" x14ac:dyDescent="0.25">
      <c r="A120" s="113">
        <v>2</v>
      </c>
      <c r="B120" s="26">
        <v>32</v>
      </c>
      <c r="C120" s="26">
        <v>30</v>
      </c>
      <c r="D120" s="284">
        <f t="shared" si="8"/>
        <v>32</v>
      </c>
      <c r="E120" s="333">
        <f t="shared" si="9"/>
        <v>0.54225259439917517</v>
      </c>
      <c r="F120" s="333">
        <f t="shared" si="10"/>
        <v>0.61</v>
      </c>
      <c r="G120" s="31">
        <f t="shared" ref="G120:G125" si="13">IF(OR(E120="",F120=""),"",(F120/E120-1)*100)</f>
        <v>12.493698748622872</v>
      </c>
      <c r="H120" s="490" t="str">
        <f t="shared" ref="H120:H125" si="14">IF(OR(E120="",F120=""),"",IF(ABS(G120)&gt;20,"IKKE OK","OK"))</f>
        <v>OK</v>
      </c>
      <c r="I120" s="333">
        <f t="shared" si="11"/>
        <v>1.3038473899763983</v>
      </c>
      <c r="J120" s="333">
        <f t="shared" si="12"/>
        <v>1.5</v>
      </c>
      <c r="K120" s="31">
        <f t="shared" ref="K120:K125" si="15">IF(OR(I120="",J120=""),"",(J120/I120-1)*100)</f>
        <v>15.044138718347423</v>
      </c>
      <c r="L120" s="490" t="str">
        <f t="shared" ref="L120:L125" si="16">IF(OR(I120="",J120=""),"",IF(ABS(K120)&gt;20,"IKKE OK","OK"))</f>
        <v>OK</v>
      </c>
      <c r="M120" s="44"/>
      <c r="N120" s="44"/>
      <c r="O120" s="47"/>
      <c r="P120" s="47"/>
      <c r="Q120" s="145"/>
      <c r="R120" s="145"/>
      <c r="S120" s="145"/>
      <c r="T120" s="145"/>
      <c r="U120" s="44"/>
      <c r="V120" s="44"/>
      <c r="W120" s="145"/>
    </row>
    <row r="121" spans="1:23" x14ac:dyDescent="0.25">
      <c r="A121" s="113">
        <v>3</v>
      </c>
      <c r="B121" s="26">
        <v>45</v>
      </c>
      <c r="C121" s="26">
        <v>40</v>
      </c>
      <c r="D121" s="284">
        <f t="shared" si="8"/>
        <v>45</v>
      </c>
      <c r="E121" s="333">
        <f t="shared" si="9"/>
        <v>0.80673287488630163</v>
      </c>
      <c r="F121" s="333">
        <f t="shared" si="10"/>
        <v>0.84</v>
      </c>
      <c r="G121" s="31">
        <f t="shared" si="13"/>
        <v>4.1236853175701915</v>
      </c>
      <c r="H121" s="490" t="str">
        <f t="shared" si="14"/>
        <v>OK</v>
      </c>
      <c r="I121" s="333">
        <f t="shared" si="11"/>
        <v>2.3345639488846883</v>
      </c>
      <c r="J121" s="333">
        <f t="shared" si="12"/>
        <v>2.7</v>
      </c>
      <c r="K121" s="31">
        <f t="shared" si="15"/>
        <v>15.653289398643144</v>
      </c>
      <c r="L121" s="490" t="str">
        <f t="shared" si="16"/>
        <v>OK</v>
      </c>
      <c r="M121" s="44"/>
      <c r="N121" s="44"/>
      <c r="O121" s="47"/>
      <c r="P121" s="47"/>
      <c r="Q121" s="145"/>
      <c r="R121" s="145"/>
      <c r="S121" s="145"/>
      <c r="T121" s="145"/>
      <c r="U121" s="44"/>
      <c r="V121" s="44"/>
      <c r="W121" s="145"/>
    </row>
    <row r="122" spans="1:23" x14ac:dyDescent="0.25">
      <c r="A122" s="113">
        <v>4</v>
      </c>
      <c r="B122" s="26">
        <v>53</v>
      </c>
      <c r="C122" s="26">
        <v>45</v>
      </c>
      <c r="D122" s="284">
        <f t="shared" si="8"/>
        <v>53</v>
      </c>
      <c r="E122" s="333">
        <f t="shared" si="9"/>
        <v>1.0073354444646405</v>
      </c>
      <c r="F122" s="333">
        <f t="shared" si="10"/>
        <v>0.99</v>
      </c>
      <c r="G122" s="31">
        <f t="shared" si="13"/>
        <v>-1.7209207280355021</v>
      </c>
      <c r="H122" s="490" t="str">
        <f t="shared" si="14"/>
        <v>OK</v>
      </c>
      <c r="I122" s="333">
        <f t="shared" si="11"/>
        <v>3.1658951989026063</v>
      </c>
      <c r="J122" s="333">
        <f t="shared" si="12"/>
        <v>3.6</v>
      </c>
      <c r="K122" s="31">
        <f t="shared" si="15"/>
        <v>13.711913181708212</v>
      </c>
      <c r="L122" s="490" t="str">
        <f t="shared" si="16"/>
        <v>OK</v>
      </c>
      <c r="M122" s="257"/>
      <c r="N122" s="257"/>
      <c r="O122" s="47"/>
      <c r="P122" s="47"/>
      <c r="Q122" s="145"/>
      <c r="R122" s="145"/>
      <c r="S122" s="145"/>
      <c r="T122" s="145"/>
      <c r="U122" s="44"/>
      <c r="V122" s="44"/>
      <c r="W122" s="145"/>
    </row>
    <row r="123" spans="1:23" x14ac:dyDescent="0.25">
      <c r="A123" s="113">
        <v>5</v>
      </c>
      <c r="B123" s="26">
        <v>60</v>
      </c>
      <c r="C123" s="26">
        <v>50</v>
      </c>
      <c r="D123" s="284">
        <f t="shared" si="8"/>
        <v>60</v>
      </c>
      <c r="E123" s="333">
        <f t="shared" si="9"/>
        <v>1.2750792497132872</v>
      </c>
      <c r="F123" s="333">
        <f t="shared" si="10"/>
        <v>1.19</v>
      </c>
      <c r="G123" s="31">
        <f t="shared" si="13"/>
        <v>-6.6724675923020556</v>
      </c>
      <c r="H123" s="490" t="str">
        <f t="shared" si="14"/>
        <v>OK</v>
      </c>
      <c r="I123" s="333">
        <f t="shared" si="11"/>
        <v>4.2944932653061221</v>
      </c>
      <c r="J123" s="333">
        <f t="shared" si="12"/>
        <v>4.9000000000000004</v>
      </c>
      <c r="K123" s="31">
        <f t="shared" si="15"/>
        <v>14.099608435425415</v>
      </c>
      <c r="L123" s="490" t="str">
        <f t="shared" si="16"/>
        <v>OK</v>
      </c>
      <c r="M123" s="44"/>
      <c r="N123" s="44"/>
      <c r="O123" s="47"/>
      <c r="P123" s="47"/>
      <c r="Q123" s="145"/>
      <c r="R123" s="145"/>
      <c r="S123" s="145"/>
      <c r="T123" s="145"/>
      <c r="U123" s="44"/>
      <c r="V123" s="44"/>
      <c r="W123" s="145"/>
    </row>
    <row r="124" spans="1:23" x14ac:dyDescent="0.25">
      <c r="A124" s="113">
        <v>6</v>
      </c>
      <c r="B124" s="26">
        <v>75</v>
      </c>
      <c r="C124" s="26">
        <v>60</v>
      </c>
      <c r="D124" s="284">
        <f t="shared" si="8"/>
        <v>75</v>
      </c>
      <c r="E124" s="333">
        <f t="shared" si="9"/>
        <v>1.8833990647121719</v>
      </c>
      <c r="F124" s="333">
        <f t="shared" si="10"/>
        <v>1.66</v>
      </c>
      <c r="G124" s="31">
        <f t="shared" si="13"/>
        <v>-11.861483256407624</v>
      </c>
      <c r="H124" s="490" t="str">
        <f t="shared" si="14"/>
        <v>OK</v>
      </c>
      <c r="I124" s="333">
        <f t="shared" si="11"/>
        <v>7.385811968689505</v>
      </c>
      <c r="J124" s="333">
        <f t="shared" si="12"/>
        <v>8.4</v>
      </c>
      <c r="K124" s="31">
        <f t="shared" si="15"/>
        <v>13.731571228863103</v>
      </c>
      <c r="L124" s="490" t="str">
        <f t="shared" si="16"/>
        <v>OK</v>
      </c>
      <c r="M124" s="44"/>
      <c r="N124" s="44"/>
      <c r="O124" s="47"/>
      <c r="P124" s="47"/>
      <c r="Q124" s="145"/>
      <c r="R124" s="145"/>
      <c r="S124" s="145"/>
      <c r="T124" s="145"/>
      <c r="U124" s="44"/>
      <c r="V124" s="44"/>
      <c r="W124" s="145"/>
    </row>
    <row r="125" spans="1:23" x14ac:dyDescent="0.25">
      <c r="A125" s="121">
        <v>7</v>
      </c>
      <c r="B125" s="27">
        <v>90</v>
      </c>
      <c r="C125" s="27">
        <v>70</v>
      </c>
      <c r="D125" s="285">
        <f t="shared" si="8"/>
        <v>90</v>
      </c>
      <c r="E125" s="334">
        <f t="shared" si="9"/>
        <v>2.3865582792108198</v>
      </c>
      <c r="F125" s="334">
        <f t="shared" si="10"/>
        <v>2.0099999999999998</v>
      </c>
      <c r="G125" s="32">
        <f t="shared" si="13"/>
        <v>-15.778298082682451</v>
      </c>
      <c r="H125" s="491" t="str">
        <f t="shared" si="14"/>
        <v>OK</v>
      </c>
      <c r="I125" s="334">
        <f t="shared" si="11"/>
        <v>10.787492875756497</v>
      </c>
      <c r="J125" s="334">
        <f t="shared" si="12"/>
        <v>12.2</v>
      </c>
      <c r="K125" s="32">
        <f t="shared" si="15"/>
        <v>13.093933321781659</v>
      </c>
      <c r="L125" s="491" t="str">
        <f t="shared" si="16"/>
        <v>OK</v>
      </c>
      <c r="M125" s="44"/>
      <c r="N125" s="44"/>
      <c r="O125" s="47"/>
      <c r="P125" s="47"/>
      <c r="Q125" s="145"/>
      <c r="R125" s="145"/>
      <c r="S125" s="145"/>
      <c r="T125" s="145"/>
      <c r="U125" s="44"/>
      <c r="V125" s="44"/>
      <c r="W125" s="145"/>
    </row>
    <row r="126" spans="1:23" x14ac:dyDescent="0.25">
      <c r="U126" s="145"/>
      <c r="V126" s="145"/>
      <c r="W126" s="145"/>
    </row>
    <row r="127" spans="1:23" x14ac:dyDescent="0.25">
      <c r="O127" s="145"/>
      <c r="P127" s="145"/>
      <c r="Q127" s="145"/>
      <c r="R127" s="145"/>
      <c r="S127" s="145"/>
      <c r="T127" s="145"/>
      <c r="U127" s="145"/>
      <c r="V127" s="145"/>
    </row>
    <row r="128" spans="1:23" ht="18.75" x14ac:dyDescent="0.3">
      <c r="A128" s="116" t="s">
        <v>260</v>
      </c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18"/>
      <c r="S128" s="118"/>
      <c r="T128" s="145"/>
      <c r="U128" s="145"/>
      <c r="V128" s="145"/>
    </row>
    <row r="129" spans="1:22" x14ac:dyDescent="0.25">
      <c r="R129" s="165"/>
      <c r="S129" s="165"/>
      <c r="T129" s="165"/>
      <c r="U129" s="165"/>
      <c r="V129" s="145"/>
    </row>
    <row r="130" spans="1:22" x14ac:dyDescent="0.25">
      <c r="A130" s="150" t="s">
        <v>480</v>
      </c>
      <c r="B130" s="151"/>
      <c r="C130" s="151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38" t="s">
        <v>421</v>
      </c>
      <c r="O130" s="151"/>
      <c r="P130" s="151"/>
      <c r="Q130" s="151"/>
      <c r="R130" s="151"/>
      <c r="S130" s="151"/>
      <c r="T130" s="165"/>
      <c r="U130" s="165"/>
      <c r="V130" s="145"/>
    </row>
    <row r="131" spans="1:22" x14ac:dyDescent="0.25">
      <c r="A131" s="141" t="s">
        <v>307</v>
      </c>
      <c r="B131" s="119" t="s">
        <v>314</v>
      </c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590"/>
      <c r="O131" s="591"/>
      <c r="P131" s="591"/>
      <c r="Q131" s="591"/>
      <c r="R131" s="591"/>
      <c r="S131" s="592"/>
      <c r="T131" s="165"/>
      <c r="U131" s="165"/>
      <c r="V131" s="145"/>
    </row>
    <row r="132" spans="1:22" x14ac:dyDescent="0.25">
      <c r="A132" s="713" t="s">
        <v>560</v>
      </c>
      <c r="B132" s="713" t="s">
        <v>561</v>
      </c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652"/>
      <c r="O132" s="653"/>
      <c r="P132" s="653"/>
      <c r="Q132" s="653"/>
      <c r="R132" s="653"/>
      <c r="S132" s="654"/>
      <c r="T132" s="165"/>
      <c r="U132" s="165"/>
      <c r="V132" s="145"/>
    </row>
    <row r="133" spans="1:22" x14ac:dyDescent="0.25">
      <c r="A133" s="164" t="s">
        <v>308</v>
      </c>
      <c r="B133" s="271" t="s">
        <v>628</v>
      </c>
      <c r="C133" s="120"/>
      <c r="D133" s="120"/>
      <c r="E133" s="287"/>
      <c r="F133" s="120"/>
      <c r="G133" s="120"/>
      <c r="H133" s="120"/>
      <c r="I133" s="120"/>
      <c r="J133" s="120"/>
      <c r="K133" s="120"/>
      <c r="L133" s="120"/>
      <c r="M133" s="120"/>
      <c r="N133" s="593"/>
      <c r="O133" s="594"/>
      <c r="P133" s="594"/>
      <c r="Q133" s="594"/>
      <c r="R133" s="594"/>
      <c r="S133" s="595"/>
      <c r="T133" s="43"/>
      <c r="U133" s="43"/>
      <c r="V133" s="145"/>
    </row>
    <row r="134" spans="1:22" x14ac:dyDescent="0.25">
      <c r="A134" s="164" t="s">
        <v>76</v>
      </c>
      <c r="B134" s="120" t="s">
        <v>629</v>
      </c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593"/>
      <c r="O134" s="594"/>
      <c r="P134" s="594"/>
      <c r="Q134" s="594"/>
      <c r="R134" s="594"/>
      <c r="S134" s="595"/>
      <c r="T134" s="47"/>
      <c r="U134" s="47"/>
      <c r="V134" s="145"/>
    </row>
    <row r="135" spans="1:22" x14ac:dyDescent="0.25">
      <c r="A135" s="160" t="s">
        <v>100</v>
      </c>
      <c r="B135" s="122" t="s">
        <v>160</v>
      </c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587"/>
      <c r="O135" s="588"/>
      <c r="P135" s="588"/>
      <c r="Q135" s="588"/>
      <c r="R135" s="588"/>
      <c r="S135" s="589"/>
      <c r="T135" s="47"/>
      <c r="U135" s="47"/>
      <c r="V135" s="145"/>
    </row>
    <row r="136" spans="1:22" x14ac:dyDescent="0.25">
      <c r="R136" s="47"/>
      <c r="S136" s="47"/>
      <c r="T136" s="47"/>
      <c r="U136" s="47"/>
      <c r="V136" s="145"/>
    </row>
    <row r="137" spans="1:22" x14ac:dyDescent="0.25">
      <c r="A137" s="150" t="s">
        <v>479</v>
      </c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</row>
    <row r="139" spans="1:22" x14ac:dyDescent="0.25">
      <c r="A139" s="94" t="s">
        <v>506</v>
      </c>
      <c r="D139" s="229" t="s">
        <v>106</v>
      </c>
      <c r="E139" s="94" t="s">
        <v>421</v>
      </c>
    </row>
    <row r="140" spans="1:22" x14ac:dyDescent="0.25">
      <c r="A140" s="182" t="s">
        <v>320</v>
      </c>
      <c r="B140" s="119"/>
      <c r="C140" s="143"/>
      <c r="D140" s="87" t="s">
        <v>107</v>
      </c>
      <c r="E140" s="767"/>
      <c r="F140" s="768"/>
      <c r="G140" s="768"/>
      <c r="H140" s="768"/>
      <c r="I140" s="768"/>
      <c r="J140" s="768"/>
      <c r="K140" s="768"/>
      <c r="L140" s="768"/>
      <c r="M140" s="768"/>
      <c r="N140" s="768"/>
      <c r="O140" s="768"/>
      <c r="P140" s="768"/>
      <c r="Q140" s="768"/>
      <c r="R140" s="768"/>
      <c r="S140" s="769"/>
    </row>
    <row r="141" spans="1:22" x14ac:dyDescent="0.25">
      <c r="A141" s="183"/>
      <c r="B141" s="122"/>
      <c r="C141" s="148"/>
      <c r="D141" s="288" t="str">
        <f>IF(D140="","",IF(D140="ja","OK","IKKE OK"))</f>
        <v>OK</v>
      </c>
      <c r="E141" s="764"/>
      <c r="F141" s="765"/>
      <c r="G141" s="765"/>
      <c r="H141" s="765"/>
      <c r="I141" s="765"/>
      <c r="J141" s="765"/>
      <c r="K141" s="765"/>
      <c r="L141" s="765"/>
      <c r="M141" s="765"/>
      <c r="N141" s="765"/>
      <c r="O141" s="765"/>
      <c r="P141" s="765"/>
      <c r="Q141" s="765"/>
      <c r="R141" s="765"/>
      <c r="S141" s="766"/>
    </row>
    <row r="142" spans="1:22" x14ac:dyDescent="0.25">
      <c r="A142" s="182" t="s">
        <v>321</v>
      </c>
      <c r="B142" s="119"/>
      <c r="C142" s="143"/>
      <c r="D142" s="87" t="s">
        <v>159</v>
      </c>
      <c r="E142" s="767"/>
      <c r="F142" s="768"/>
      <c r="G142" s="768"/>
      <c r="H142" s="768"/>
      <c r="I142" s="768"/>
      <c r="J142" s="768"/>
      <c r="K142" s="768"/>
      <c r="L142" s="768"/>
      <c r="M142" s="768"/>
      <c r="N142" s="768"/>
      <c r="O142" s="768"/>
      <c r="P142" s="768"/>
      <c r="Q142" s="768"/>
      <c r="R142" s="768"/>
      <c r="S142" s="769"/>
    </row>
    <row r="143" spans="1:22" x14ac:dyDescent="0.25">
      <c r="A143" s="183"/>
      <c r="B143" s="122"/>
      <c r="C143" s="148"/>
      <c r="D143" s="288"/>
      <c r="E143" s="764"/>
      <c r="F143" s="765"/>
      <c r="G143" s="765"/>
      <c r="H143" s="765"/>
      <c r="I143" s="765"/>
      <c r="J143" s="765"/>
      <c r="K143" s="765"/>
      <c r="L143" s="765"/>
      <c r="M143" s="765"/>
      <c r="N143" s="765"/>
      <c r="O143" s="765"/>
      <c r="P143" s="765"/>
      <c r="Q143" s="765"/>
      <c r="R143" s="765"/>
      <c r="S143" s="766"/>
    </row>
    <row r="145" spans="1:19" x14ac:dyDescent="0.25">
      <c r="A145" s="150" t="s">
        <v>388</v>
      </c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</row>
    <row r="146" spans="1:19" x14ac:dyDescent="0.25">
      <c r="A146" s="508"/>
      <c r="B146" s="509"/>
      <c r="C146" s="509"/>
      <c r="D146" s="509"/>
      <c r="E146" s="509"/>
      <c r="F146" s="509"/>
      <c r="G146" s="509"/>
      <c r="H146" s="509"/>
      <c r="I146" s="509"/>
      <c r="J146" s="509"/>
      <c r="K146" s="509"/>
      <c r="L146" s="509"/>
      <c r="M146" s="509"/>
      <c r="N146" s="509"/>
      <c r="O146" s="509"/>
      <c r="P146" s="509"/>
      <c r="Q146" s="509"/>
      <c r="R146" s="509"/>
      <c r="S146" s="510"/>
    </row>
    <row r="147" spans="1:19" x14ac:dyDescent="0.25">
      <c r="A147" s="511"/>
      <c r="B147" s="512"/>
      <c r="C147" s="512"/>
      <c r="D147" s="512"/>
      <c r="E147" s="512"/>
      <c r="F147" s="512"/>
      <c r="G147" s="512"/>
      <c r="H147" s="512"/>
      <c r="I147" s="512"/>
      <c r="J147" s="512"/>
      <c r="K147" s="512"/>
      <c r="L147" s="512"/>
      <c r="M147" s="512"/>
      <c r="N147" s="512"/>
      <c r="O147" s="512"/>
      <c r="P147" s="512"/>
      <c r="Q147" s="512"/>
      <c r="R147" s="512"/>
      <c r="S147" s="513"/>
    </row>
    <row r="148" spans="1:19" x14ac:dyDescent="0.25">
      <c r="A148" s="511"/>
      <c r="B148" s="512"/>
      <c r="C148" s="512"/>
      <c r="D148" s="512"/>
      <c r="E148" s="512"/>
      <c r="F148" s="512"/>
      <c r="G148" s="512"/>
      <c r="H148" s="512"/>
      <c r="I148" s="512"/>
      <c r="J148" s="512"/>
      <c r="K148" s="512"/>
      <c r="L148" s="512"/>
      <c r="M148" s="512"/>
      <c r="N148" s="512"/>
      <c r="O148" s="512"/>
      <c r="P148" s="512"/>
      <c r="Q148" s="512"/>
      <c r="R148" s="512"/>
      <c r="S148" s="513"/>
    </row>
    <row r="149" spans="1:19" x14ac:dyDescent="0.25">
      <c r="A149" s="511"/>
      <c r="B149" s="512"/>
      <c r="C149" s="512"/>
      <c r="D149" s="512"/>
      <c r="E149" s="512"/>
      <c r="F149" s="512"/>
      <c r="G149" s="512"/>
      <c r="H149" s="512"/>
      <c r="I149" s="512"/>
      <c r="J149" s="512"/>
      <c r="K149" s="512"/>
      <c r="L149" s="512"/>
      <c r="M149" s="512"/>
      <c r="N149" s="512"/>
      <c r="O149" s="512"/>
      <c r="P149" s="512"/>
      <c r="Q149" s="512"/>
      <c r="R149" s="512"/>
      <c r="S149" s="513"/>
    </row>
    <row r="150" spans="1:19" x14ac:dyDescent="0.25">
      <c r="A150" s="514"/>
      <c r="B150" s="515"/>
      <c r="C150" s="515"/>
      <c r="D150" s="515"/>
      <c r="E150" s="515"/>
      <c r="F150" s="515"/>
      <c r="G150" s="515"/>
      <c r="H150" s="515"/>
      <c r="I150" s="515"/>
      <c r="J150" s="515"/>
      <c r="K150" s="515"/>
      <c r="L150" s="515"/>
      <c r="M150" s="515"/>
      <c r="N150" s="515"/>
      <c r="O150" s="515"/>
      <c r="P150" s="515"/>
      <c r="Q150" s="515"/>
      <c r="R150" s="515"/>
      <c r="S150" s="516"/>
    </row>
  </sheetData>
  <mergeCells count="4">
    <mergeCell ref="E140:S140"/>
    <mergeCell ref="E141:S141"/>
    <mergeCell ref="E142:S142"/>
    <mergeCell ref="E143:S143"/>
  </mergeCells>
  <conditionalFormatting sqref="M33">
    <cfRule type="cellIs" dxfId="36" priority="70" operator="equal">
      <formula>"IKKE OK"</formula>
    </cfRule>
    <cfRule type="cellIs" dxfId="35" priority="71" operator="equal">
      <formula>"OK"</formula>
    </cfRule>
  </conditionalFormatting>
  <conditionalFormatting sqref="K33">
    <cfRule type="cellIs" dxfId="34" priority="68" operator="equal">
      <formula>"IKKE OK"</formula>
    </cfRule>
    <cfRule type="cellIs" dxfId="33" priority="69" operator="equal">
      <formula>"OK"</formula>
    </cfRule>
  </conditionalFormatting>
  <conditionalFormatting sqref="G119">
    <cfRule type="cellIs" dxfId="32" priority="46" operator="notBetween">
      <formula>-20</formula>
      <formula>20</formula>
    </cfRule>
  </conditionalFormatting>
  <conditionalFormatting sqref="K119">
    <cfRule type="cellIs" dxfId="31" priority="39" operator="notBetween">
      <formula>-20</formula>
      <formula>20</formula>
    </cfRule>
  </conditionalFormatting>
  <conditionalFormatting sqref="G120:G125">
    <cfRule type="cellIs" dxfId="30" priority="11" operator="notBetween">
      <formula>-20</formula>
      <formula>20</formula>
    </cfRule>
  </conditionalFormatting>
  <conditionalFormatting sqref="K120:K125">
    <cfRule type="cellIs" dxfId="29" priority="8" operator="notBetween">
      <formula>-20</formula>
      <formula>20</formula>
    </cfRule>
  </conditionalFormatting>
  <conditionalFormatting sqref="S76:S82">
    <cfRule type="cellIs" dxfId="28" priority="3" operator="equal">
      <formula>"IKKE OK"</formula>
    </cfRule>
    <cfRule type="cellIs" dxfId="27" priority="4" operator="equal">
      <formula>"OK"</formula>
    </cfRule>
  </conditionalFormatting>
  <conditionalFormatting sqref="R92:R98">
    <cfRule type="cellIs" dxfId="26" priority="15" operator="equal">
      <formula>"IKKE OK"</formula>
    </cfRule>
    <cfRule type="cellIs" dxfId="25" priority="16" operator="equal">
      <formula>"OK"</formula>
    </cfRule>
  </conditionalFormatting>
  <conditionalFormatting sqref="H119:H125">
    <cfRule type="cellIs" dxfId="24" priority="12" operator="equal">
      <formula>"IKKE OK"</formula>
    </cfRule>
    <cfRule type="cellIs" dxfId="23" priority="13" operator="equal">
      <formula>"OK"</formula>
    </cfRule>
  </conditionalFormatting>
  <conditionalFormatting sqref="L119:L125">
    <cfRule type="cellIs" dxfId="22" priority="9" operator="equal">
      <formula>"IKKE OK"</formula>
    </cfRule>
    <cfRule type="cellIs" dxfId="21" priority="10" operator="equal">
      <formula>"OK"</formula>
    </cfRule>
  </conditionalFormatting>
  <conditionalFormatting sqref="D141">
    <cfRule type="cellIs" dxfId="20" priority="1" operator="equal">
      <formula>"IKKE OK"</formula>
    </cfRule>
    <cfRule type="cellIs" dxfId="19" priority="2" operator="equal">
      <formula>"OK"</formula>
    </cfRule>
  </conditionalFormatting>
  <pageMargins left="0.28000000000000003" right="0.2" top="0.47244094488188981" bottom="0.74803149606299213" header="0.31496062992125984" footer="0.31496062992125984"/>
  <pageSetup paperSize="9" scale="80" orientation="landscape" r:id="rId1"/>
  <ignoredErrors>
    <ignoredError sqref="O92 O93:O9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Data!$F$76:$F$77</xm:f>
          </x14:formula1>
          <xm:sqref>A113</xm:sqref>
        </x14:dataValidation>
        <x14:dataValidation type="list" allowBlank="1" showInputMessage="1" showErrorMessage="1">
          <x14:formula1>
            <xm:f>Data!$F$79:$F$80</xm:f>
          </x14:formula1>
          <xm:sqref>A28</xm:sqref>
        </x14:dataValidation>
        <x14:dataValidation type="list" allowBlank="1" showInputMessage="1" showErrorMessage="1">
          <x14:formula1>
            <xm:f>Data!$G$76:$G$77</xm:f>
          </x14:formula1>
          <xm:sqref>D142 D140</xm:sqref>
        </x14:dataValidation>
        <x14:dataValidation type="list" allowBlank="1" showInputMessage="1" showErrorMessage="1">
          <x14:formula1>
            <xm:f>Data!$D$76:$D$89</xm:f>
          </x14:formula1>
          <xm:sqref>A25 E76:E82 E92:E98</xm:sqref>
        </x14:dataValidation>
        <x14:dataValidation type="list" allowBlank="1" showInputMessage="1" showErrorMessage="1">
          <x14:formula1>
            <xm:f>Data!$A$76:$A$83</xm:f>
          </x14:formula1>
          <xm:sqref>A24 G76:G82 G92:G98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8"/>
  <sheetViews>
    <sheetView zoomScaleNormal="100" workbookViewId="0">
      <selection activeCell="A8" sqref="A8"/>
    </sheetView>
  </sheetViews>
  <sheetFormatPr defaultColWidth="9.140625" defaultRowHeight="15" x14ac:dyDescent="0.25"/>
  <cols>
    <col min="1" max="1" width="11" style="94" customWidth="1"/>
    <col min="2" max="7" width="9.140625" style="94"/>
    <col min="8" max="8" width="11.140625" style="94" customWidth="1"/>
    <col min="9" max="16384" width="9.140625" style="94"/>
  </cols>
  <sheetData>
    <row r="1" spans="1:20" x14ac:dyDescent="0.25">
      <c r="A1" s="89" t="s">
        <v>280</v>
      </c>
      <c r="B1" s="90"/>
      <c r="C1" s="90"/>
      <c r="D1" s="91" t="str">
        <f>IF(Oplysningsside!B9="","",Oplysningsside!B9)</f>
        <v>Region H</v>
      </c>
      <c r="E1" s="90"/>
      <c r="F1" s="90"/>
      <c r="G1" s="92" t="s">
        <v>281</v>
      </c>
      <c r="H1" s="90"/>
      <c r="I1" s="91" t="str">
        <f>IF(Oplysningsside!B23="","",Oplysningsside!B23)</f>
        <v>Modtagekontrol</v>
      </c>
      <c r="J1" s="90"/>
      <c r="K1" s="90"/>
      <c r="L1" s="90"/>
      <c r="M1" s="92" t="s">
        <v>282</v>
      </c>
      <c r="N1" s="90"/>
      <c r="O1" s="91" t="str">
        <f>IF(Oplysningsside!B22="","",Oplysningsside!B22)</f>
        <v>Siemens</v>
      </c>
      <c r="P1" s="90"/>
      <c r="Q1" s="90"/>
      <c r="R1" s="90"/>
      <c r="S1" s="159"/>
      <c r="T1" s="145"/>
    </row>
    <row r="2" spans="1:20" x14ac:dyDescent="0.25">
      <c r="A2" s="95" t="s">
        <v>283</v>
      </c>
      <c r="B2" s="96"/>
      <c r="C2" s="96"/>
      <c r="D2" s="97" t="str">
        <f>IF(Oplysningsside!B10="","",Oplysningsside!B10)</f>
        <v>HGH Gentofte</v>
      </c>
      <c r="E2" s="96"/>
      <c r="F2" s="96"/>
      <c r="G2" s="98" t="s">
        <v>284</v>
      </c>
      <c r="H2" s="96"/>
      <c r="I2" s="97" t="str">
        <f>IF(Oplysningsside!B15="","",Oplysningsside!B15)</f>
        <v>Revelation</v>
      </c>
      <c r="J2" s="96"/>
      <c r="K2" s="96"/>
      <c r="L2" s="96"/>
      <c r="M2" s="98" t="s">
        <v>285</v>
      </c>
      <c r="N2" s="96"/>
      <c r="O2" s="97" t="str">
        <f>IF(Oplysningsside!B24="","",Oplysningsside!B24)</f>
        <v>01.01.2022</v>
      </c>
      <c r="P2" s="96"/>
      <c r="Q2" s="96"/>
      <c r="R2" s="96"/>
      <c r="S2" s="159"/>
      <c r="T2" s="145"/>
    </row>
    <row r="3" spans="1:20" x14ac:dyDescent="0.25">
      <c r="A3" s="100" t="s">
        <v>286</v>
      </c>
      <c r="B3" s="96"/>
      <c r="C3" s="96"/>
      <c r="D3" s="97" t="str">
        <f>IF(Oplysningsside!B11="","",Oplysningsside!B11)</f>
        <v>Gentofte Screening</v>
      </c>
      <c r="E3" s="96"/>
      <c r="F3" s="96"/>
      <c r="G3" s="98" t="s">
        <v>287</v>
      </c>
      <c r="H3" s="96"/>
      <c r="I3" s="101">
        <f>IF(Oplysningsside!B16="","",Oplysningsside!B16)</f>
        <v>1234</v>
      </c>
      <c r="J3" s="96"/>
      <c r="K3" s="96"/>
      <c r="L3" s="96"/>
      <c r="M3" s="98" t="s">
        <v>288</v>
      </c>
      <c r="N3" s="96"/>
      <c r="O3" s="97" t="str">
        <f>IF(Oplysningsside!B26="","",Oplysningsside!B26)</f>
        <v>EA</v>
      </c>
      <c r="P3" s="96"/>
      <c r="Q3" s="96"/>
      <c r="R3" s="96"/>
      <c r="S3" s="159"/>
      <c r="T3" s="145"/>
    </row>
    <row r="4" spans="1:20" x14ac:dyDescent="0.25">
      <c r="A4" s="95" t="s">
        <v>289</v>
      </c>
      <c r="B4" s="96"/>
      <c r="C4" s="96"/>
      <c r="D4" s="97" t="str">
        <f>IF(Oplysningsside!B12="","",Oplysningsside!B12)</f>
        <v>MAM 1</v>
      </c>
      <c r="E4" s="96"/>
      <c r="F4" s="96"/>
      <c r="G4" s="98" t="s">
        <v>290</v>
      </c>
      <c r="H4" s="96"/>
      <c r="I4" s="101">
        <f>IF(Oplysningsside!B17="","",Oplysningsside!B17)</f>
        <v>1234</v>
      </c>
      <c r="J4" s="96"/>
      <c r="K4" s="96"/>
      <c r="L4" s="96"/>
      <c r="M4" s="96" t="s">
        <v>291</v>
      </c>
      <c r="N4" s="96"/>
      <c r="O4" s="97" t="str">
        <f>IF(Oplysningsside!B25="","",Oplysningsside!B25)</f>
        <v>01.01.2022</v>
      </c>
      <c r="P4" s="96"/>
      <c r="Q4" s="96"/>
      <c r="R4" s="96"/>
      <c r="S4" s="159"/>
      <c r="T4" s="145"/>
    </row>
    <row r="5" spans="1:20" x14ac:dyDescent="0.25">
      <c r="A5" s="102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59"/>
      <c r="T5" s="145"/>
    </row>
    <row r="7" spans="1:20" ht="26.25" x14ac:dyDescent="0.4">
      <c r="A7" s="133" t="s">
        <v>712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6" t="str">
        <f>IF(Oplysningsside!$B$23="","",Oplysningsside!$B$23)</f>
        <v>Modtagekontrol</v>
      </c>
      <c r="O7" s="134"/>
      <c r="P7" s="135"/>
      <c r="Q7" s="135"/>
      <c r="R7" s="136" t="str">
        <f>IF(Oplysningsside!$B$24="","",Oplysningsside!$B$24)</f>
        <v>01.01.2022</v>
      </c>
    </row>
    <row r="9" spans="1:20" ht="18.75" x14ac:dyDescent="0.3">
      <c r="A9" s="116" t="s">
        <v>261</v>
      </c>
      <c r="B9" s="117"/>
      <c r="C9" s="117"/>
      <c r="D9" s="117"/>
      <c r="E9" s="117"/>
      <c r="F9" s="117"/>
      <c r="G9" s="117"/>
      <c r="H9" s="117"/>
      <c r="I9" s="117"/>
      <c r="J9" s="137"/>
      <c r="K9" s="137"/>
      <c r="L9" s="137"/>
      <c r="M9" s="137"/>
      <c r="N9" s="137"/>
      <c r="O9" s="137"/>
      <c r="P9" s="137"/>
      <c r="Q9" s="137"/>
      <c r="R9" s="137"/>
    </row>
    <row r="11" spans="1:20" x14ac:dyDescent="0.25">
      <c r="A11" s="150" t="s">
        <v>482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38" t="s">
        <v>421</v>
      </c>
      <c r="N11" s="151"/>
      <c r="O11" s="151"/>
      <c r="P11" s="151"/>
      <c r="Q11" s="151"/>
      <c r="R11" s="151"/>
    </row>
    <row r="12" spans="1:20" x14ac:dyDescent="0.25">
      <c r="A12" s="141" t="s">
        <v>307</v>
      </c>
      <c r="B12" s="119" t="s">
        <v>82</v>
      </c>
      <c r="C12" s="119"/>
      <c r="D12" s="119"/>
      <c r="E12" s="203"/>
      <c r="F12" s="119"/>
      <c r="G12" s="119"/>
      <c r="H12" s="119"/>
      <c r="I12" s="119"/>
      <c r="J12" s="119"/>
      <c r="K12" s="119"/>
      <c r="L12" s="119"/>
      <c r="M12" s="628"/>
      <c r="N12" s="591"/>
      <c r="O12" s="591"/>
      <c r="P12" s="591"/>
      <c r="Q12" s="591"/>
      <c r="R12" s="592"/>
    </row>
    <row r="13" spans="1:20" x14ac:dyDescent="0.25">
      <c r="A13" s="713" t="s">
        <v>560</v>
      </c>
      <c r="B13" s="713" t="s">
        <v>561</v>
      </c>
      <c r="C13" s="120"/>
      <c r="D13" s="120"/>
      <c r="E13" s="206"/>
      <c r="F13" s="120"/>
      <c r="G13" s="120"/>
      <c r="H13" s="120"/>
      <c r="I13" s="120"/>
      <c r="J13" s="120"/>
      <c r="K13" s="120"/>
      <c r="L13" s="120"/>
      <c r="M13" s="658"/>
      <c r="N13" s="653"/>
      <c r="O13" s="653"/>
      <c r="P13" s="653"/>
      <c r="Q13" s="653"/>
      <c r="R13" s="654"/>
    </row>
    <row r="14" spans="1:20" x14ac:dyDescent="0.25">
      <c r="A14" s="164" t="s">
        <v>308</v>
      </c>
      <c r="B14" s="120" t="s">
        <v>333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658"/>
      <c r="N14" s="594"/>
      <c r="O14" s="594"/>
      <c r="P14" s="594"/>
      <c r="Q14" s="594"/>
      <c r="R14" s="595"/>
    </row>
    <row r="15" spans="1:20" x14ac:dyDescent="0.25">
      <c r="A15" s="164" t="s">
        <v>76</v>
      </c>
      <c r="B15" s="120" t="s">
        <v>630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593"/>
      <c r="N15" s="594"/>
      <c r="O15" s="594"/>
      <c r="P15" s="594"/>
      <c r="Q15" s="594"/>
      <c r="R15" s="595"/>
    </row>
    <row r="16" spans="1:20" x14ac:dyDescent="0.25">
      <c r="A16" s="164"/>
      <c r="B16" s="120" t="s">
        <v>481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593"/>
      <c r="N16" s="594"/>
      <c r="O16" s="594"/>
      <c r="P16" s="594"/>
      <c r="Q16" s="594"/>
      <c r="R16" s="595"/>
    </row>
    <row r="17" spans="1:20" ht="18" x14ac:dyDescent="0.35">
      <c r="A17" s="164"/>
      <c r="B17" s="120" t="s">
        <v>391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593"/>
      <c r="N17" s="594"/>
      <c r="O17" s="594"/>
      <c r="P17" s="594"/>
      <c r="Q17" s="594"/>
      <c r="R17" s="595"/>
    </row>
    <row r="18" spans="1:20" x14ac:dyDescent="0.25">
      <c r="A18" s="160" t="s">
        <v>100</v>
      </c>
      <c r="B18" s="270" t="s">
        <v>511</v>
      </c>
      <c r="C18" s="270"/>
      <c r="D18" s="122"/>
      <c r="E18" s="122"/>
      <c r="F18" s="122"/>
      <c r="G18" s="122"/>
      <c r="H18" s="122"/>
      <c r="I18" s="122"/>
      <c r="J18" s="122"/>
      <c r="K18" s="122"/>
      <c r="L18" s="122"/>
      <c r="M18" s="574"/>
      <c r="N18" s="543"/>
      <c r="O18" s="543"/>
      <c r="P18" s="543"/>
      <c r="Q18" s="543"/>
      <c r="R18" s="575"/>
    </row>
    <row r="20" spans="1:20" x14ac:dyDescent="0.25">
      <c r="A20" s="150" t="s">
        <v>489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</row>
    <row r="22" spans="1:20" x14ac:dyDescent="0.25">
      <c r="A22" s="1">
        <v>100</v>
      </c>
      <c r="B22" s="559" t="s">
        <v>487</v>
      </c>
      <c r="C22" s="119"/>
      <c r="D22" s="119"/>
      <c r="E22" s="119"/>
      <c r="F22" s="119"/>
      <c r="G22" s="143"/>
      <c r="I22" s="145"/>
      <c r="J22" s="145"/>
      <c r="K22" s="145"/>
      <c r="L22" s="145"/>
    </row>
    <row r="23" spans="1:20" x14ac:dyDescent="0.25">
      <c r="A23" s="484"/>
      <c r="B23" s="122"/>
      <c r="C23" s="122"/>
      <c r="D23" s="122"/>
      <c r="E23" s="122"/>
      <c r="F23" s="122"/>
      <c r="G23" s="148"/>
      <c r="I23" s="145"/>
      <c r="J23" s="145"/>
      <c r="K23" s="145"/>
      <c r="L23" s="145"/>
    </row>
    <row r="24" spans="1:20" x14ac:dyDescent="0.25">
      <c r="A24" s="154" t="s">
        <v>5</v>
      </c>
      <c r="B24" s="154" t="s">
        <v>5</v>
      </c>
      <c r="C24" s="291" t="s">
        <v>64</v>
      </c>
      <c r="D24" s="292"/>
      <c r="E24" s="155" t="s">
        <v>387</v>
      </c>
      <c r="F24" s="155" t="s">
        <v>389</v>
      </c>
      <c r="G24" s="155" t="s">
        <v>0</v>
      </c>
      <c r="I24" s="145"/>
      <c r="J24" s="145"/>
      <c r="K24" s="165"/>
      <c r="L24" s="145"/>
      <c r="M24" s="165"/>
      <c r="N24" s="165"/>
      <c r="O24" s="165"/>
      <c r="P24" s="290"/>
      <c r="Q24" s="290"/>
      <c r="R24" s="165"/>
      <c r="S24" s="165"/>
      <c r="T24" s="145"/>
    </row>
    <row r="25" spans="1:20" x14ac:dyDescent="0.25">
      <c r="A25" s="154"/>
      <c r="B25" s="154" t="s">
        <v>507</v>
      </c>
      <c r="C25" s="291" t="s">
        <v>81</v>
      </c>
      <c r="D25" s="292"/>
      <c r="E25" s="155" t="s">
        <v>51</v>
      </c>
      <c r="F25" s="155" t="s">
        <v>390</v>
      </c>
      <c r="G25" s="155"/>
      <c r="I25" s="145"/>
      <c r="J25" s="145"/>
      <c r="K25" s="165"/>
      <c r="L25" s="145"/>
      <c r="M25" s="165"/>
      <c r="N25" s="165"/>
      <c r="O25" s="165"/>
      <c r="P25" s="165"/>
      <c r="Q25" s="165"/>
      <c r="R25" s="165"/>
      <c r="S25" s="165"/>
      <c r="T25" s="145"/>
    </row>
    <row r="26" spans="1:20" x14ac:dyDescent="0.25">
      <c r="A26" s="156"/>
      <c r="B26" s="156" t="s">
        <v>510</v>
      </c>
      <c r="C26" s="186"/>
      <c r="D26" s="293"/>
      <c r="E26" s="156" t="s">
        <v>83</v>
      </c>
      <c r="F26" s="156" t="s">
        <v>83</v>
      </c>
      <c r="G26" s="156"/>
      <c r="I26" s="145"/>
      <c r="J26" s="145"/>
      <c r="K26" s="165"/>
      <c r="L26" s="145"/>
      <c r="M26" s="165"/>
      <c r="N26" s="43"/>
      <c r="O26" s="165"/>
      <c r="P26" s="165"/>
      <c r="Q26" s="165"/>
      <c r="R26" s="43"/>
      <c r="S26" s="43"/>
      <c r="T26" s="145"/>
    </row>
    <row r="27" spans="1:20" x14ac:dyDescent="0.25">
      <c r="A27" s="113">
        <v>1</v>
      </c>
      <c r="B27" s="26" t="s">
        <v>508</v>
      </c>
      <c r="C27" s="191" t="s">
        <v>79</v>
      </c>
      <c r="D27" s="171" t="s">
        <v>15</v>
      </c>
      <c r="E27" s="15">
        <v>45</v>
      </c>
      <c r="F27" s="30">
        <f>IF(E27="","",MAX(E27:E28)-MIN(E27:E28))</f>
        <v>2</v>
      </c>
      <c r="G27" s="704" t="str">
        <f>IF(E27="","",IF(F27&gt;5,"IKKE OK","OK"))</f>
        <v>OK</v>
      </c>
      <c r="I27" s="145"/>
      <c r="J27" s="145"/>
      <c r="K27" s="47"/>
      <c r="L27" s="145"/>
      <c r="M27" s="250"/>
      <c r="N27" s="45"/>
      <c r="O27" s="250"/>
      <c r="P27" s="250"/>
      <c r="Q27" s="250"/>
      <c r="R27" s="43"/>
      <c r="S27" s="242"/>
      <c r="T27" s="145"/>
    </row>
    <row r="28" spans="1:20" x14ac:dyDescent="0.25">
      <c r="A28" s="121">
        <v>2</v>
      </c>
      <c r="B28" s="27"/>
      <c r="C28" s="192" t="s">
        <v>80</v>
      </c>
      <c r="D28" s="28" t="s">
        <v>15</v>
      </c>
      <c r="E28" s="16">
        <v>47</v>
      </c>
      <c r="F28" s="705"/>
      <c r="G28" s="148"/>
      <c r="I28" s="145"/>
      <c r="J28" s="145"/>
      <c r="K28" s="242"/>
      <c r="L28" s="145"/>
      <c r="M28" s="44"/>
      <c r="N28" s="43"/>
      <c r="O28" s="44"/>
      <c r="P28" s="44"/>
      <c r="Q28" s="44"/>
      <c r="R28" s="43"/>
      <c r="S28" s="242"/>
      <c r="T28" s="145"/>
    </row>
    <row r="29" spans="1:20" x14ac:dyDescent="0.25">
      <c r="A29" s="113">
        <v>3</v>
      </c>
      <c r="B29" s="25" t="s">
        <v>509</v>
      </c>
      <c r="C29" s="191" t="s">
        <v>79</v>
      </c>
      <c r="D29" s="171" t="s">
        <v>15</v>
      </c>
      <c r="E29" s="15">
        <v>46</v>
      </c>
      <c r="F29" s="30">
        <f>IF(E29="","",MAX(E29:E30)-MIN(E29:E30))</f>
        <v>3</v>
      </c>
      <c r="G29" s="704" t="str">
        <f>IF(E29="","",IF(F29&gt;15,"IKKE OK","OK"))</f>
        <v>OK</v>
      </c>
      <c r="I29" s="145"/>
      <c r="J29" s="145"/>
      <c r="K29" s="47"/>
      <c r="L29" s="145"/>
      <c r="M29" s="44"/>
      <c r="N29" s="43"/>
      <c r="O29" s="44"/>
      <c r="P29" s="44"/>
      <c r="Q29" s="44"/>
      <c r="R29" s="43"/>
      <c r="S29" s="242"/>
      <c r="T29" s="145"/>
    </row>
    <row r="30" spans="1:20" x14ac:dyDescent="0.25">
      <c r="A30" s="121">
        <v>4</v>
      </c>
      <c r="B30" s="27" t="s">
        <v>512</v>
      </c>
      <c r="C30" s="192" t="s">
        <v>80</v>
      </c>
      <c r="D30" s="28" t="s">
        <v>15</v>
      </c>
      <c r="E30" s="16">
        <v>43</v>
      </c>
      <c r="F30" s="705"/>
      <c r="G30" s="148"/>
      <c r="I30" s="145"/>
      <c r="J30" s="145"/>
      <c r="K30" s="242"/>
      <c r="L30" s="145"/>
      <c r="M30" s="257"/>
      <c r="N30" s="43"/>
      <c r="O30" s="257"/>
      <c r="P30" s="257"/>
      <c r="Q30" s="257"/>
      <c r="R30" s="43"/>
      <c r="S30" s="242"/>
      <c r="T30" s="145"/>
    </row>
    <row r="31" spans="1:20" x14ac:dyDescent="0.25">
      <c r="K31" s="45"/>
      <c r="L31" s="44"/>
      <c r="M31" s="44"/>
      <c r="N31" s="43"/>
      <c r="O31" s="44"/>
      <c r="P31" s="44"/>
      <c r="Q31" s="44"/>
      <c r="R31" s="47"/>
      <c r="S31" s="47"/>
      <c r="T31" s="145"/>
    </row>
    <row r="32" spans="1:20" x14ac:dyDescent="0.25">
      <c r="A32" s="145"/>
      <c r="B32" s="145"/>
      <c r="C32" s="145"/>
      <c r="D32" s="145"/>
      <c r="E32" s="145"/>
      <c r="F32" s="145"/>
      <c r="G32" s="145"/>
      <c r="H32" s="145"/>
      <c r="I32" s="145"/>
    </row>
    <row r="33" spans="1:21" x14ac:dyDescent="0.25">
      <c r="T33" s="229"/>
      <c r="U33" s="229"/>
    </row>
    <row r="34" spans="1:21" ht="18.75" x14ac:dyDescent="0.3">
      <c r="A34" s="116" t="s">
        <v>267</v>
      </c>
      <c r="B34" s="117"/>
      <c r="C34" s="117"/>
      <c r="D34" s="117"/>
      <c r="E34" s="117"/>
      <c r="F34" s="117"/>
      <c r="G34" s="117"/>
      <c r="H34" s="117"/>
      <c r="I34" s="117"/>
      <c r="J34" s="137"/>
      <c r="K34" s="137"/>
      <c r="L34" s="137"/>
      <c r="M34" s="137"/>
      <c r="N34" s="137"/>
      <c r="O34" s="137"/>
      <c r="P34" s="137"/>
      <c r="Q34" s="137"/>
      <c r="R34" s="137"/>
      <c r="T34" s="229"/>
      <c r="U34" s="229"/>
    </row>
    <row r="35" spans="1:21" x14ac:dyDescent="0.25">
      <c r="T35" s="229"/>
      <c r="U35" s="229"/>
    </row>
    <row r="36" spans="1:21" x14ac:dyDescent="0.25">
      <c r="A36" s="150" t="s">
        <v>488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38" t="s">
        <v>421</v>
      </c>
      <c r="N36" s="151"/>
      <c r="O36" s="151"/>
      <c r="P36" s="151"/>
      <c r="Q36" s="151"/>
      <c r="R36" s="151"/>
      <c r="T36" s="229"/>
      <c r="U36" s="229"/>
    </row>
    <row r="37" spans="1:21" x14ac:dyDescent="0.25">
      <c r="A37" s="141" t="s">
        <v>307</v>
      </c>
      <c r="B37" s="119" t="s">
        <v>82</v>
      </c>
      <c r="C37" s="119"/>
      <c r="D37" s="119"/>
      <c r="E37" s="203"/>
      <c r="F37" s="119"/>
      <c r="G37" s="119"/>
      <c r="H37" s="119"/>
      <c r="I37" s="119"/>
      <c r="J37" s="119"/>
      <c r="K37" s="119"/>
      <c r="L37" s="119"/>
      <c r="M37" s="590"/>
      <c r="N37" s="591"/>
      <c r="O37" s="591"/>
      <c r="P37" s="591"/>
      <c r="Q37" s="591"/>
      <c r="R37" s="592"/>
      <c r="T37" s="229"/>
      <c r="U37" s="229"/>
    </row>
    <row r="38" spans="1:21" x14ac:dyDescent="0.25">
      <c r="A38" s="713" t="s">
        <v>560</v>
      </c>
      <c r="B38" s="713" t="s">
        <v>561</v>
      </c>
      <c r="C38" s="120"/>
      <c r="D38" s="120"/>
      <c r="E38" s="206"/>
      <c r="F38" s="120"/>
      <c r="G38" s="120"/>
      <c r="H38" s="120"/>
      <c r="I38" s="120"/>
      <c r="J38" s="120"/>
      <c r="K38" s="120"/>
      <c r="L38" s="120"/>
      <c r="M38" s="652"/>
      <c r="N38" s="653"/>
      <c r="O38" s="653"/>
      <c r="P38" s="653"/>
      <c r="Q38" s="653"/>
      <c r="R38" s="654"/>
      <c r="T38" s="229"/>
      <c r="U38" s="229"/>
    </row>
    <row r="39" spans="1:21" x14ac:dyDescent="0.25">
      <c r="A39" s="164" t="s">
        <v>308</v>
      </c>
      <c r="B39" s="120" t="s">
        <v>631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593"/>
      <c r="N39" s="594"/>
      <c r="O39" s="594"/>
      <c r="P39" s="594"/>
      <c r="Q39" s="594"/>
      <c r="R39" s="595"/>
      <c r="T39" s="229"/>
      <c r="U39" s="229"/>
    </row>
    <row r="40" spans="1:21" x14ac:dyDescent="0.25">
      <c r="A40" s="164" t="s">
        <v>76</v>
      </c>
      <c r="B40" s="120" t="s">
        <v>392</v>
      </c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593"/>
      <c r="N40" s="594"/>
      <c r="O40" s="594"/>
      <c r="P40" s="594"/>
      <c r="Q40" s="594"/>
      <c r="R40" s="595"/>
      <c r="T40" s="229"/>
      <c r="U40" s="229"/>
    </row>
    <row r="41" spans="1:21" x14ac:dyDescent="0.25">
      <c r="B41" s="94" t="s">
        <v>632</v>
      </c>
      <c r="K41" s="120"/>
      <c r="L41" s="120"/>
      <c r="M41" s="593"/>
      <c r="N41" s="594"/>
      <c r="O41" s="594"/>
      <c r="P41" s="594"/>
      <c r="Q41" s="594"/>
      <c r="R41" s="595"/>
      <c r="T41" s="229"/>
      <c r="U41" s="229"/>
    </row>
    <row r="42" spans="1:21" x14ac:dyDescent="0.25">
      <c r="A42" s="164"/>
      <c r="B42" s="94" t="s">
        <v>633</v>
      </c>
      <c r="M42" s="593"/>
      <c r="N42" s="594"/>
      <c r="O42" s="594"/>
      <c r="P42" s="594"/>
      <c r="Q42" s="594"/>
      <c r="R42" s="595"/>
      <c r="T42" s="229"/>
      <c r="U42" s="229"/>
    </row>
    <row r="43" spans="1:21" x14ac:dyDescent="0.25">
      <c r="A43" s="164"/>
      <c r="B43" s="120" t="s">
        <v>635</v>
      </c>
      <c r="M43" s="652"/>
      <c r="N43" s="653"/>
      <c r="O43" s="653"/>
      <c r="P43" s="653"/>
      <c r="Q43" s="653"/>
      <c r="R43" s="654"/>
      <c r="T43" s="229"/>
      <c r="U43" s="229"/>
    </row>
    <row r="44" spans="1:21" x14ac:dyDescent="0.25">
      <c r="A44" s="164"/>
      <c r="B44" s="94" t="s">
        <v>636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652"/>
      <c r="N44" s="653"/>
      <c r="O44" s="653"/>
      <c r="P44" s="653"/>
      <c r="Q44" s="653"/>
      <c r="R44" s="654"/>
      <c r="T44" s="229"/>
      <c r="U44" s="229"/>
    </row>
    <row r="45" spans="1:21" x14ac:dyDescent="0.25">
      <c r="A45" s="164"/>
      <c r="B45" s="120" t="s">
        <v>634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652"/>
      <c r="N45" s="653"/>
      <c r="O45" s="653"/>
      <c r="P45" s="653"/>
      <c r="Q45" s="653"/>
      <c r="R45" s="654"/>
      <c r="T45" s="229"/>
      <c r="U45" s="229"/>
    </row>
    <row r="46" spans="1:21" x14ac:dyDescent="0.25">
      <c r="A46" s="164"/>
      <c r="B46" s="120" t="s">
        <v>637</v>
      </c>
      <c r="C46" s="120"/>
      <c r="D46" s="120"/>
      <c r="E46" s="145"/>
      <c r="F46" s="120"/>
      <c r="H46" s="120"/>
      <c r="I46" s="120"/>
      <c r="J46" s="120"/>
      <c r="K46" s="120"/>
      <c r="L46" s="120"/>
      <c r="M46" s="652"/>
      <c r="N46" s="653"/>
      <c r="O46" s="653"/>
      <c r="P46" s="653"/>
      <c r="Q46" s="653"/>
      <c r="R46" s="654"/>
      <c r="T46" s="229"/>
      <c r="U46" s="229"/>
    </row>
    <row r="47" spans="1:21" x14ac:dyDescent="0.25">
      <c r="A47" s="164"/>
      <c r="B47" s="120" t="s">
        <v>638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652"/>
      <c r="N47" s="653"/>
      <c r="O47" s="653"/>
      <c r="P47" s="653"/>
      <c r="Q47" s="653"/>
      <c r="R47" s="654"/>
      <c r="T47" s="229"/>
      <c r="U47" s="229"/>
    </row>
    <row r="48" spans="1:21" x14ac:dyDescent="0.25">
      <c r="A48" s="164"/>
      <c r="B48" s="120" t="s">
        <v>635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652"/>
      <c r="N48" s="653"/>
      <c r="O48" s="653"/>
      <c r="P48" s="653"/>
      <c r="Q48" s="653"/>
      <c r="R48" s="654"/>
      <c r="T48" s="229"/>
      <c r="U48" s="229"/>
    </row>
    <row r="49" spans="1:21" x14ac:dyDescent="0.25">
      <c r="A49" s="164"/>
      <c r="B49" s="94" t="s">
        <v>639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652"/>
      <c r="N49" s="653"/>
      <c r="O49" s="653"/>
      <c r="P49" s="653"/>
      <c r="Q49" s="653"/>
      <c r="R49" s="654"/>
      <c r="T49" s="229"/>
      <c r="U49" s="229"/>
    </row>
    <row r="50" spans="1:21" x14ac:dyDescent="0.25">
      <c r="A50" s="164"/>
      <c r="B50" s="120" t="s">
        <v>634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652"/>
      <c r="N50" s="653"/>
      <c r="O50" s="653"/>
      <c r="P50" s="653"/>
      <c r="Q50" s="653"/>
      <c r="R50" s="654"/>
      <c r="T50" s="229"/>
      <c r="U50" s="229"/>
    </row>
    <row r="51" spans="1:21" ht="18" x14ac:dyDescent="0.35">
      <c r="A51" s="160" t="s">
        <v>100</v>
      </c>
      <c r="B51" s="739" t="s">
        <v>696</v>
      </c>
      <c r="C51" s="270"/>
      <c r="D51" s="122"/>
      <c r="E51" s="122"/>
      <c r="F51" s="122"/>
      <c r="G51" s="122"/>
      <c r="H51" s="122"/>
      <c r="I51" s="122"/>
      <c r="J51" s="122"/>
      <c r="K51" s="122"/>
      <c r="L51" s="122"/>
      <c r="M51" s="574"/>
      <c r="N51" s="543"/>
      <c r="O51" s="543"/>
      <c r="P51" s="543"/>
      <c r="Q51" s="543"/>
      <c r="R51" s="575"/>
      <c r="T51" s="229"/>
      <c r="U51" s="229"/>
    </row>
    <row r="52" spans="1:21" x14ac:dyDescent="0.25">
      <c r="T52" s="229"/>
      <c r="U52" s="229"/>
    </row>
    <row r="53" spans="1:21" x14ac:dyDescent="0.25">
      <c r="A53" s="150" t="s">
        <v>490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T53" s="229"/>
      <c r="U53" s="229"/>
    </row>
    <row r="54" spans="1:21" x14ac:dyDescent="0.25">
      <c r="T54" s="229"/>
      <c r="U54" s="229"/>
    </row>
    <row r="55" spans="1:21" x14ac:dyDescent="0.25">
      <c r="A55" s="152" t="s">
        <v>5</v>
      </c>
      <c r="B55" s="152" t="s">
        <v>101</v>
      </c>
      <c r="C55" s="289" t="s">
        <v>104</v>
      </c>
      <c r="D55" s="289" t="s">
        <v>104</v>
      </c>
      <c r="E55" s="152" t="s">
        <v>7</v>
      </c>
      <c r="F55" s="153" t="s">
        <v>0</v>
      </c>
      <c r="H55" s="289" t="s">
        <v>5</v>
      </c>
      <c r="I55" s="294"/>
      <c r="J55" s="294"/>
      <c r="K55" s="294"/>
      <c r="L55" s="685"/>
      <c r="M55" s="194"/>
      <c r="N55" s="152" t="s">
        <v>101</v>
      </c>
      <c r="O55" s="727" t="s">
        <v>0</v>
      </c>
      <c r="P55" s="727" t="s">
        <v>105</v>
      </c>
      <c r="T55" s="229"/>
      <c r="U55" s="229"/>
    </row>
    <row r="56" spans="1:21" x14ac:dyDescent="0.25">
      <c r="A56" s="154"/>
      <c r="B56" s="154" t="s">
        <v>103</v>
      </c>
      <c r="C56" s="291" t="s">
        <v>13</v>
      </c>
      <c r="D56" s="291" t="s">
        <v>103</v>
      </c>
      <c r="E56" s="154" t="s">
        <v>394</v>
      </c>
      <c r="F56" s="155"/>
      <c r="H56" s="291"/>
      <c r="I56" s="295"/>
      <c r="J56" s="295"/>
      <c r="K56" s="295"/>
      <c r="L56" s="139"/>
      <c r="M56" s="197"/>
      <c r="N56" s="154" t="s">
        <v>395</v>
      </c>
      <c r="O56" s="689"/>
      <c r="P56" s="728" t="s">
        <v>583</v>
      </c>
      <c r="T56" s="229"/>
      <c r="U56" s="229"/>
    </row>
    <row r="57" spans="1:21" x14ac:dyDescent="0.25">
      <c r="A57" s="156"/>
      <c r="B57" s="156" t="s">
        <v>393</v>
      </c>
      <c r="C57" s="156" t="s">
        <v>582</v>
      </c>
      <c r="D57" s="156" t="s">
        <v>393</v>
      </c>
      <c r="E57" s="157" t="s">
        <v>393</v>
      </c>
      <c r="F57" s="157"/>
      <c r="H57" s="186"/>
      <c r="I57" s="296"/>
      <c r="J57" s="296"/>
      <c r="K57" s="286"/>
      <c r="L57" s="151"/>
      <c r="M57" s="200"/>
      <c r="N57" s="156" t="s">
        <v>102</v>
      </c>
      <c r="O57" s="690"/>
      <c r="P57" s="156" t="s">
        <v>106</v>
      </c>
      <c r="T57" s="229"/>
      <c r="U57" s="229"/>
    </row>
    <row r="58" spans="1:21" x14ac:dyDescent="0.25">
      <c r="A58" s="18">
        <v>1</v>
      </c>
      <c r="B58" s="3">
        <v>51</v>
      </c>
      <c r="C58" s="3">
        <v>5</v>
      </c>
      <c r="D58" s="25">
        <f>IF(C58="","",C58*9.82)</f>
        <v>49.1</v>
      </c>
      <c r="E58" s="18">
        <f>IF(B58="","",B58-D58)</f>
        <v>1.8999999999999986</v>
      </c>
      <c r="F58" s="18" t="str">
        <f>IF(B58="","",IF(ABS(E58)&gt;20,"IKKE OK","OK"))</f>
        <v>OK</v>
      </c>
      <c r="H58" s="113">
        <v>5</v>
      </c>
      <c r="I58" s="720" t="s">
        <v>662</v>
      </c>
      <c r="J58" s="721"/>
      <c r="K58" s="721"/>
      <c r="L58" s="722"/>
      <c r="M58" s="723"/>
      <c r="N58" s="3">
        <v>195</v>
      </c>
      <c r="O58" s="25" t="str">
        <f>IF(N58="","",IF(OR(N58&lt;200,N58&gt;300),"IKKE OK","OK"))</f>
        <v>IKKE OK</v>
      </c>
      <c r="P58" s="3" t="s">
        <v>107</v>
      </c>
      <c r="T58" s="229"/>
      <c r="U58" s="229"/>
    </row>
    <row r="59" spans="1:21" x14ac:dyDescent="0.25">
      <c r="A59" s="113">
        <v>2</v>
      </c>
      <c r="B59" s="5">
        <v>100</v>
      </c>
      <c r="C59" s="5">
        <v>10</v>
      </c>
      <c r="D59" s="26">
        <f t="shared" ref="D59:D60" si="0">IF(C59="","",C59*9.82)</f>
        <v>98.2</v>
      </c>
      <c r="E59" s="113">
        <f t="shared" ref="E59:E60" si="1">IF(B59="","",B59-D59)</f>
        <v>1.7999999999999972</v>
      </c>
      <c r="F59" s="113" t="str">
        <f>IF(B59="","",IF(ABS(E59)&gt;20,"IKKE OK","OK"))</f>
        <v>OK</v>
      </c>
      <c r="H59" s="121">
        <v>6</v>
      </c>
      <c r="I59" s="724" t="s">
        <v>584</v>
      </c>
      <c r="J59" s="725"/>
      <c r="K59" s="725"/>
      <c r="L59" s="626"/>
      <c r="M59" s="726"/>
      <c r="N59" s="7">
        <v>192</v>
      </c>
      <c r="O59" s="27" t="str">
        <f>IF(N59="","",IF(OR(N59&lt;150,N59&gt;200),"IKKE OK","OK"))</f>
        <v>OK</v>
      </c>
      <c r="P59" s="7" t="s">
        <v>107</v>
      </c>
      <c r="T59" s="229"/>
      <c r="U59" s="229"/>
    </row>
    <row r="60" spans="1:21" x14ac:dyDescent="0.25">
      <c r="A60" s="121">
        <v>3</v>
      </c>
      <c r="B60" s="7">
        <v>150</v>
      </c>
      <c r="C60" s="7">
        <v>15</v>
      </c>
      <c r="D60" s="27">
        <f t="shared" si="0"/>
        <v>147.30000000000001</v>
      </c>
      <c r="E60" s="121">
        <f t="shared" si="1"/>
        <v>2.6999999999999886</v>
      </c>
      <c r="F60" s="121" t="str">
        <f>IF(B60="","",IF(ABS(E60)&gt;20,"IKKE OK","OK"))</f>
        <v>OK</v>
      </c>
      <c r="G60" s="174"/>
      <c r="H60" s="190"/>
      <c r="T60" s="229"/>
      <c r="U60" s="229"/>
    </row>
    <row r="61" spans="1:21" x14ac:dyDescent="0.25">
      <c r="K61" s="581"/>
      <c r="T61" s="229"/>
      <c r="U61" s="229"/>
    </row>
    <row r="62" spans="1:21" x14ac:dyDescent="0.25">
      <c r="T62" s="229"/>
      <c r="U62" s="229"/>
    </row>
    <row r="63" spans="1:21" ht="18.75" x14ac:dyDescent="0.3">
      <c r="A63" s="116" t="s">
        <v>268</v>
      </c>
      <c r="B63" s="117"/>
      <c r="C63" s="117"/>
      <c r="D63" s="117"/>
      <c r="E63" s="117"/>
      <c r="F63" s="117"/>
      <c r="G63" s="117"/>
      <c r="H63" s="117"/>
      <c r="I63" s="117"/>
      <c r="J63" s="137"/>
      <c r="K63" s="137"/>
      <c r="L63" s="137"/>
      <c r="M63" s="137"/>
      <c r="N63" s="137"/>
      <c r="O63" s="137"/>
      <c r="P63" s="137"/>
      <c r="Q63" s="137"/>
      <c r="R63" s="137"/>
      <c r="T63" s="229"/>
      <c r="U63" s="229"/>
    </row>
    <row r="65" spans="1:18" x14ac:dyDescent="0.25">
      <c r="A65" s="150" t="s">
        <v>492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38" t="s">
        <v>421</v>
      </c>
      <c r="N65" s="151"/>
      <c r="O65" s="151"/>
      <c r="P65" s="151"/>
      <c r="Q65" s="151"/>
      <c r="R65" s="151"/>
    </row>
    <row r="66" spans="1:18" x14ac:dyDescent="0.25">
      <c r="A66" s="141" t="s">
        <v>307</v>
      </c>
      <c r="B66" s="119" t="s">
        <v>82</v>
      </c>
      <c r="C66" s="119"/>
      <c r="D66" s="119"/>
      <c r="E66" s="203"/>
      <c r="F66" s="119"/>
      <c r="G66" s="119"/>
      <c r="H66" s="119"/>
      <c r="I66" s="119"/>
      <c r="J66" s="119"/>
      <c r="K66" s="119"/>
      <c r="L66" s="119"/>
      <c r="M66" s="590"/>
      <c r="N66" s="591"/>
      <c r="O66" s="591"/>
      <c r="P66" s="591"/>
      <c r="Q66" s="591"/>
      <c r="R66" s="592"/>
    </row>
    <row r="67" spans="1:18" x14ac:dyDescent="0.25">
      <c r="A67" s="715" t="s">
        <v>560</v>
      </c>
      <c r="B67" s="715" t="s">
        <v>561</v>
      </c>
      <c r="C67" s="120"/>
      <c r="D67" s="120"/>
      <c r="E67" s="206"/>
      <c r="F67" s="120"/>
      <c r="G67" s="120"/>
      <c r="H67" s="120"/>
      <c r="I67" s="120"/>
      <c r="J67" s="120"/>
      <c r="K67" s="120"/>
      <c r="L67" s="120"/>
      <c r="M67" s="652"/>
      <c r="N67" s="653"/>
      <c r="O67" s="653"/>
      <c r="P67" s="653"/>
      <c r="Q67" s="653"/>
      <c r="R67" s="654"/>
    </row>
    <row r="68" spans="1:18" x14ac:dyDescent="0.25">
      <c r="A68" s="164" t="s">
        <v>308</v>
      </c>
      <c r="B68" s="120" t="s">
        <v>640</v>
      </c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593"/>
      <c r="N68" s="594"/>
      <c r="O68" s="594"/>
      <c r="P68" s="594"/>
      <c r="Q68" s="594"/>
      <c r="R68" s="595"/>
    </row>
    <row r="69" spans="1:18" x14ac:dyDescent="0.25">
      <c r="A69" s="164" t="s">
        <v>76</v>
      </c>
      <c r="B69" s="120" t="s">
        <v>277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593"/>
      <c r="N69" s="594"/>
      <c r="O69" s="594"/>
      <c r="P69" s="594"/>
      <c r="Q69" s="594"/>
      <c r="R69" s="595"/>
    </row>
    <row r="70" spans="1:18" x14ac:dyDescent="0.25">
      <c r="A70" s="164"/>
      <c r="B70" s="120" t="s">
        <v>323</v>
      </c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593"/>
      <c r="N70" s="594"/>
      <c r="O70" s="594"/>
      <c r="P70" s="594"/>
      <c r="Q70" s="594"/>
      <c r="R70" s="595"/>
    </row>
    <row r="71" spans="1:18" x14ac:dyDescent="0.25">
      <c r="A71" s="160" t="s">
        <v>100</v>
      </c>
      <c r="B71" s="270" t="s">
        <v>397</v>
      </c>
      <c r="C71" s="270"/>
      <c r="D71" s="122"/>
      <c r="E71" s="122"/>
      <c r="F71" s="122"/>
      <c r="G71" s="122"/>
      <c r="H71" s="122"/>
      <c r="I71" s="122"/>
      <c r="J71" s="122"/>
      <c r="K71" s="122"/>
      <c r="L71" s="122"/>
      <c r="M71" s="574"/>
      <c r="N71" s="543"/>
      <c r="O71" s="543"/>
      <c r="P71" s="543"/>
      <c r="Q71" s="543"/>
      <c r="R71" s="575"/>
    </row>
    <row r="72" spans="1:18" x14ac:dyDescent="0.25">
      <c r="A72" s="145"/>
      <c r="C72" s="274"/>
    </row>
    <row r="73" spans="1:18" x14ac:dyDescent="0.25">
      <c r="A73" s="150" t="s">
        <v>491</v>
      </c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</row>
    <row r="74" spans="1:18" x14ac:dyDescent="0.25">
      <c r="A74" s="145"/>
      <c r="C74" s="274"/>
    </row>
    <row r="75" spans="1:18" x14ac:dyDescent="0.25">
      <c r="A75" s="1">
        <v>100</v>
      </c>
      <c r="B75" s="559" t="s">
        <v>487</v>
      </c>
      <c r="C75" s="119"/>
      <c r="D75" s="119"/>
      <c r="E75" s="143"/>
    </row>
    <row r="76" spans="1:18" x14ac:dyDescent="0.25">
      <c r="A76" s="484"/>
      <c r="B76" s="122"/>
      <c r="C76" s="270"/>
      <c r="D76" s="122"/>
      <c r="E76" s="148"/>
    </row>
    <row r="77" spans="1:18" x14ac:dyDescent="0.25">
      <c r="A77" s="154" t="s">
        <v>5</v>
      </c>
      <c r="B77" s="154" t="s">
        <v>399</v>
      </c>
      <c r="C77" s="154" t="s">
        <v>387</v>
      </c>
      <c r="D77" s="155" t="s">
        <v>387</v>
      </c>
      <c r="E77" s="155" t="s">
        <v>0</v>
      </c>
      <c r="G77" s="165"/>
      <c r="I77" s="165"/>
      <c r="J77" s="165"/>
      <c r="K77" s="165"/>
      <c r="L77" s="165"/>
      <c r="M77" s="165"/>
      <c r="N77" s="165"/>
      <c r="O77" s="165"/>
      <c r="P77" s="165"/>
      <c r="Q77" s="165"/>
      <c r="R77" s="145"/>
    </row>
    <row r="78" spans="1:18" x14ac:dyDescent="0.25">
      <c r="A78" s="154"/>
      <c r="B78" s="154" t="s">
        <v>51</v>
      </c>
      <c r="C78" s="154" t="s">
        <v>51</v>
      </c>
      <c r="D78" s="155" t="s">
        <v>51</v>
      </c>
      <c r="E78" s="155"/>
      <c r="G78" s="165"/>
      <c r="I78" s="165"/>
      <c r="J78" s="165"/>
      <c r="K78" s="165"/>
      <c r="L78" s="165"/>
      <c r="M78" s="165"/>
      <c r="N78" s="165"/>
      <c r="O78" s="165"/>
      <c r="P78" s="165"/>
      <c r="Q78" s="165"/>
      <c r="R78" s="145"/>
    </row>
    <row r="79" spans="1:18" x14ac:dyDescent="0.25">
      <c r="A79" s="154"/>
      <c r="B79" s="154" t="s">
        <v>14</v>
      </c>
      <c r="C79" s="154" t="s">
        <v>13</v>
      </c>
      <c r="D79" s="155"/>
      <c r="E79" s="155"/>
      <c r="G79" s="165"/>
      <c r="I79" s="165"/>
      <c r="J79" s="165"/>
      <c r="K79" s="165"/>
      <c r="L79" s="165"/>
      <c r="M79" s="165"/>
      <c r="N79" s="165"/>
      <c r="O79" s="165"/>
      <c r="P79" s="165"/>
      <c r="Q79" s="165"/>
      <c r="R79" s="145"/>
    </row>
    <row r="80" spans="1:18" ht="18" x14ac:dyDescent="0.35">
      <c r="A80" s="154"/>
      <c r="B80" s="154" t="s">
        <v>396</v>
      </c>
      <c r="C80" s="154" t="s">
        <v>398</v>
      </c>
      <c r="D80" s="155" t="s">
        <v>31</v>
      </c>
      <c r="E80" s="155"/>
      <c r="G80" s="165"/>
      <c r="H80" s="145"/>
      <c r="I80" s="165"/>
      <c r="J80" s="165"/>
      <c r="K80" s="165"/>
      <c r="L80" s="165"/>
      <c r="M80" s="165"/>
      <c r="N80" s="165"/>
      <c r="O80" s="165"/>
      <c r="P80" s="165"/>
      <c r="Q80" s="165"/>
      <c r="R80" s="145"/>
    </row>
    <row r="81" spans="1:18" x14ac:dyDescent="0.25">
      <c r="A81" s="156"/>
      <c r="B81" s="156" t="s">
        <v>83</v>
      </c>
      <c r="C81" s="156" t="s">
        <v>83</v>
      </c>
      <c r="D81" s="156" t="s">
        <v>83</v>
      </c>
      <c r="E81" s="156"/>
      <c r="G81" s="165"/>
      <c r="H81" s="158"/>
      <c r="I81" s="165"/>
      <c r="J81" s="165"/>
      <c r="K81" s="165"/>
      <c r="L81" s="43"/>
      <c r="M81" s="165"/>
      <c r="N81" s="165"/>
      <c r="O81" s="43"/>
      <c r="P81" s="43"/>
      <c r="Q81" s="43"/>
      <c r="R81" s="145"/>
    </row>
    <row r="82" spans="1:18" x14ac:dyDescent="0.25">
      <c r="A82" s="25">
        <v>1</v>
      </c>
      <c r="B82" s="3">
        <v>19</v>
      </c>
      <c r="C82" s="3">
        <v>18</v>
      </c>
      <c r="D82" s="30">
        <f>IF(OR(B82="",C82=""),"",C82-B82)</f>
        <v>-1</v>
      </c>
      <c r="E82" s="489" t="str">
        <f>IF(OR(C82="",B82=""),"",IF(ABS(D82)&gt;3,"IKKE OK","OK"))</f>
        <v>OK</v>
      </c>
      <c r="G82" s="47"/>
      <c r="H82" s="43"/>
      <c r="I82" s="43"/>
      <c r="J82" s="250"/>
      <c r="K82" s="250"/>
      <c r="L82" s="45"/>
      <c r="M82" s="250"/>
      <c r="N82" s="250"/>
      <c r="O82" s="47"/>
      <c r="P82" s="47"/>
      <c r="Q82" s="47"/>
      <c r="R82" s="145"/>
    </row>
    <row r="83" spans="1:18" x14ac:dyDescent="0.25">
      <c r="A83" s="26">
        <v>2</v>
      </c>
      <c r="B83" s="5">
        <v>38</v>
      </c>
      <c r="C83" s="5">
        <v>37</v>
      </c>
      <c r="D83" s="31">
        <f t="shared" ref="D83:D84" si="2">IF(OR(B83="",C83=""),"",C83-B83)</f>
        <v>-1</v>
      </c>
      <c r="E83" s="490" t="str">
        <f t="shared" ref="E83:E84" si="3">IF(OR(C83="",B83=""),"",IF(ABS(D83)&gt;3,"IKKE OK","OK"))</f>
        <v>OK</v>
      </c>
      <c r="G83" s="242"/>
      <c r="H83" s="43"/>
      <c r="I83" s="43"/>
      <c r="J83" s="44"/>
      <c r="K83" s="44"/>
      <c r="L83" s="43"/>
      <c r="M83" s="44"/>
      <c r="N83" s="44"/>
      <c r="O83" s="47"/>
      <c r="P83" s="47"/>
      <c r="Q83" s="47"/>
      <c r="R83" s="145"/>
    </row>
    <row r="84" spans="1:18" x14ac:dyDescent="0.25">
      <c r="A84" s="27">
        <v>3</v>
      </c>
      <c r="B84" s="7">
        <v>57</v>
      </c>
      <c r="C84" s="7">
        <v>56</v>
      </c>
      <c r="D84" s="32">
        <f t="shared" si="2"/>
        <v>-1</v>
      </c>
      <c r="E84" s="491" t="str">
        <f t="shared" si="3"/>
        <v>OK</v>
      </c>
      <c r="G84" s="242"/>
      <c r="H84" s="43"/>
      <c r="I84" s="43"/>
      <c r="J84" s="44"/>
      <c r="K84" s="44"/>
      <c r="L84" s="43"/>
      <c r="M84" s="44"/>
      <c r="N84" s="44"/>
      <c r="O84" s="47"/>
      <c r="P84" s="47"/>
      <c r="Q84" s="47"/>
      <c r="R84" s="145"/>
    </row>
    <row r="85" spans="1:18" x14ac:dyDescent="0.25">
      <c r="G85" s="145"/>
    </row>
    <row r="87" spans="1:18" ht="18.75" x14ac:dyDescent="0.25">
      <c r="A87" s="297" t="s">
        <v>535</v>
      </c>
      <c r="B87" s="298"/>
      <c r="C87" s="298"/>
      <c r="D87" s="298"/>
      <c r="E87" s="298"/>
      <c r="F87" s="298"/>
      <c r="G87" s="298"/>
      <c r="H87" s="298"/>
      <c r="I87" s="298"/>
      <c r="J87" s="299"/>
      <c r="K87" s="299"/>
      <c r="L87" s="299"/>
      <c r="M87" s="299"/>
      <c r="N87" s="299"/>
      <c r="O87" s="299"/>
      <c r="P87" s="299"/>
      <c r="Q87" s="299"/>
      <c r="R87" s="299"/>
    </row>
    <row r="88" spans="1:18" x14ac:dyDescent="0.25">
      <c r="A88" s="132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</row>
    <row r="89" spans="1:18" x14ac:dyDescent="0.25">
      <c r="A89" s="300" t="s">
        <v>493</v>
      </c>
      <c r="B89" s="301"/>
      <c r="C89" s="301"/>
      <c r="D89" s="301"/>
      <c r="E89" s="301"/>
      <c r="F89" s="301"/>
      <c r="G89" s="301"/>
      <c r="H89" s="301"/>
      <c r="I89" s="301"/>
      <c r="J89" s="301"/>
      <c r="K89" s="301"/>
      <c r="L89" s="301"/>
      <c r="M89" s="138" t="s">
        <v>421</v>
      </c>
      <c r="N89" s="151"/>
      <c r="O89" s="151"/>
      <c r="P89" s="151"/>
      <c r="Q89" s="151"/>
      <c r="R89" s="151"/>
    </row>
    <row r="90" spans="1:18" x14ac:dyDescent="0.25">
      <c r="A90" s="302" t="s">
        <v>307</v>
      </c>
      <c r="B90" s="203" t="s">
        <v>243</v>
      </c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628"/>
      <c r="N90" s="591"/>
      <c r="O90" s="591"/>
      <c r="P90" s="591"/>
      <c r="Q90" s="591"/>
      <c r="R90" s="592"/>
    </row>
    <row r="91" spans="1:18" x14ac:dyDescent="0.25">
      <c r="A91" s="715" t="s">
        <v>560</v>
      </c>
      <c r="B91" s="715" t="s">
        <v>561</v>
      </c>
      <c r="C91" s="729"/>
      <c r="D91" s="206"/>
      <c r="E91" s="206"/>
      <c r="F91" s="206"/>
      <c r="G91" s="206"/>
      <c r="H91" s="206"/>
      <c r="I91" s="206"/>
      <c r="J91" s="206"/>
      <c r="K91" s="206"/>
      <c r="L91" s="206"/>
      <c r="M91" s="658"/>
      <c r="N91" s="653"/>
      <c r="O91" s="653"/>
      <c r="P91" s="653"/>
      <c r="Q91" s="653"/>
      <c r="R91" s="654"/>
    </row>
    <row r="92" spans="1:18" x14ac:dyDescent="0.25">
      <c r="A92" s="207" t="s">
        <v>308</v>
      </c>
      <c r="B92" s="206" t="s">
        <v>278</v>
      </c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593"/>
      <c r="N92" s="594"/>
      <c r="O92" s="594"/>
      <c r="P92" s="594"/>
      <c r="Q92" s="594"/>
      <c r="R92" s="595"/>
    </row>
    <row r="93" spans="1:18" x14ac:dyDescent="0.25">
      <c r="A93" s="207" t="s">
        <v>76</v>
      </c>
      <c r="B93" s="206" t="s">
        <v>495</v>
      </c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593"/>
      <c r="N93" s="594"/>
      <c r="O93" s="594"/>
      <c r="P93" s="594"/>
      <c r="Q93" s="594"/>
      <c r="R93" s="595"/>
    </row>
    <row r="94" spans="1:18" x14ac:dyDescent="0.25">
      <c r="A94" s="207"/>
      <c r="B94" s="206" t="s">
        <v>496</v>
      </c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593"/>
      <c r="N94" s="594"/>
      <c r="O94" s="594"/>
      <c r="P94" s="594"/>
      <c r="Q94" s="594"/>
      <c r="R94" s="595"/>
    </row>
    <row r="95" spans="1:18" x14ac:dyDescent="0.25">
      <c r="A95" s="234" t="s">
        <v>100</v>
      </c>
      <c r="B95" s="730" t="s">
        <v>663</v>
      </c>
      <c r="C95" s="303"/>
      <c r="D95" s="209"/>
      <c r="E95" s="209"/>
      <c r="F95" s="209"/>
      <c r="G95" s="209"/>
      <c r="H95" s="209"/>
      <c r="I95" s="209"/>
      <c r="J95" s="209"/>
      <c r="K95" s="209"/>
      <c r="L95" s="209"/>
      <c r="M95" s="587"/>
      <c r="N95" s="588"/>
      <c r="O95" s="588"/>
      <c r="P95" s="588"/>
      <c r="Q95" s="588"/>
      <c r="R95" s="589"/>
    </row>
    <row r="96" spans="1:18" x14ac:dyDescent="0.25">
      <c r="A96" s="145"/>
      <c r="C96" s="274"/>
    </row>
    <row r="97" spans="1:18" x14ac:dyDescent="0.25">
      <c r="A97" s="300" t="s">
        <v>494</v>
      </c>
      <c r="B97" s="301"/>
      <c r="C97" s="301"/>
      <c r="D97" s="301"/>
      <c r="E97" s="301"/>
      <c r="F97" s="301"/>
      <c r="G97" s="30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</row>
    <row r="98" spans="1:18" x14ac:dyDescent="0.25">
      <c r="A98" s="132"/>
      <c r="B98" s="132"/>
      <c r="C98" s="132"/>
      <c r="D98" s="132"/>
      <c r="E98" s="132"/>
      <c r="F98" s="132"/>
      <c r="G98" s="132"/>
    </row>
    <row r="99" spans="1:18" x14ac:dyDescent="0.25">
      <c r="A99" s="478" t="s">
        <v>5</v>
      </c>
      <c r="B99" s="498" t="s">
        <v>244</v>
      </c>
      <c r="C99" s="497"/>
      <c r="D99" s="479"/>
      <c r="E99" s="479"/>
      <c r="F99" s="479"/>
      <c r="G99" s="479"/>
      <c r="H99" s="480"/>
      <c r="I99" s="304" t="s">
        <v>32</v>
      </c>
      <c r="J99" s="481" t="s">
        <v>249</v>
      </c>
      <c r="K99" s="479"/>
      <c r="L99" s="482"/>
      <c r="M99" s="482"/>
      <c r="N99" s="482"/>
      <c r="O99" s="482"/>
      <c r="P99" s="482"/>
      <c r="Q99" s="482"/>
      <c r="R99" s="480"/>
    </row>
    <row r="100" spans="1:18" x14ac:dyDescent="0.25">
      <c r="A100" s="193">
        <v>1</v>
      </c>
      <c r="B100" s="606" t="s">
        <v>245</v>
      </c>
      <c r="C100" s="607"/>
      <c r="D100" s="607"/>
      <c r="E100" s="607"/>
      <c r="F100" s="607"/>
      <c r="G100" s="607"/>
      <c r="H100" s="608"/>
      <c r="I100" s="12"/>
      <c r="J100" s="800"/>
      <c r="K100" s="801"/>
      <c r="L100" s="801"/>
      <c r="M100" s="801"/>
      <c r="N100" s="801"/>
      <c r="O100" s="801"/>
      <c r="P100" s="801"/>
      <c r="Q100" s="801"/>
      <c r="R100" s="802"/>
    </row>
    <row r="101" spans="1:18" x14ac:dyDescent="0.25">
      <c r="A101" s="193">
        <v>2</v>
      </c>
      <c r="B101" s="606" t="s">
        <v>246</v>
      </c>
      <c r="C101" s="607"/>
      <c r="D101" s="607"/>
      <c r="E101" s="607"/>
      <c r="F101" s="607"/>
      <c r="G101" s="607"/>
      <c r="H101" s="608"/>
      <c r="I101" s="12"/>
      <c r="J101" s="800"/>
      <c r="K101" s="801"/>
      <c r="L101" s="801"/>
      <c r="M101" s="801"/>
      <c r="N101" s="801"/>
      <c r="O101" s="801"/>
      <c r="P101" s="801"/>
      <c r="Q101" s="801"/>
      <c r="R101" s="802"/>
    </row>
    <row r="102" spans="1:18" x14ac:dyDescent="0.25">
      <c r="A102" s="193">
        <v>3</v>
      </c>
      <c r="B102" s="606" t="s">
        <v>247</v>
      </c>
      <c r="C102" s="609"/>
      <c r="D102" s="609"/>
      <c r="E102" s="609"/>
      <c r="F102" s="609"/>
      <c r="G102" s="609"/>
      <c r="H102" s="608"/>
      <c r="I102" s="12"/>
      <c r="J102" s="800"/>
      <c r="K102" s="801"/>
      <c r="L102" s="801"/>
      <c r="M102" s="801"/>
      <c r="N102" s="801"/>
      <c r="O102" s="801"/>
      <c r="P102" s="801"/>
      <c r="Q102" s="801"/>
      <c r="R102" s="802"/>
    </row>
    <row r="103" spans="1:18" x14ac:dyDescent="0.25">
      <c r="A103" s="193">
        <v>4</v>
      </c>
      <c r="B103" s="606" t="s">
        <v>248</v>
      </c>
      <c r="C103" s="609"/>
      <c r="D103" s="609"/>
      <c r="E103" s="609"/>
      <c r="F103" s="609"/>
      <c r="G103" s="609"/>
      <c r="H103" s="608"/>
      <c r="I103" s="12"/>
      <c r="J103" s="800"/>
      <c r="K103" s="801"/>
      <c r="L103" s="801"/>
      <c r="M103" s="801"/>
      <c r="N103" s="801"/>
      <c r="O103" s="801"/>
      <c r="P103" s="801"/>
      <c r="Q103" s="801"/>
      <c r="R103" s="802"/>
    </row>
    <row r="104" spans="1:18" x14ac:dyDescent="0.25">
      <c r="A104" s="193">
        <v>5</v>
      </c>
      <c r="B104" s="606" t="s">
        <v>253</v>
      </c>
      <c r="C104" s="609"/>
      <c r="D104" s="609"/>
      <c r="E104" s="609"/>
      <c r="F104" s="609"/>
      <c r="G104" s="609"/>
      <c r="H104" s="608"/>
      <c r="I104" s="12"/>
      <c r="J104" s="800"/>
      <c r="K104" s="801"/>
      <c r="L104" s="801"/>
      <c r="M104" s="801"/>
      <c r="N104" s="801"/>
      <c r="O104" s="801"/>
      <c r="P104" s="801"/>
      <c r="Q104" s="801"/>
      <c r="R104" s="802"/>
    </row>
    <row r="105" spans="1:18" x14ac:dyDescent="0.25">
      <c r="A105" s="193">
        <v>6</v>
      </c>
      <c r="B105" s="800"/>
      <c r="C105" s="801"/>
      <c r="D105" s="801"/>
      <c r="E105" s="801"/>
      <c r="F105" s="801"/>
      <c r="G105" s="801"/>
      <c r="H105" s="802"/>
      <c r="I105" s="12"/>
      <c r="J105" s="800"/>
      <c r="K105" s="801"/>
      <c r="L105" s="801"/>
      <c r="M105" s="801"/>
      <c r="N105" s="801"/>
      <c r="O105" s="801"/>
      <c r="P105" s="801"/>
      <c r="Q105" s="801"/>
      <c r="R105" s="802"/>
    </row>
    <row r="106" spans="1:18" x14ac:dyDescent="0.25">
      <c r="A106" s="193">
        <v>7</v>
      </c>
      <c r="B106" s="800"/>
      <c r="C106" s="801"/>
      <c r="D106" s="801"/>
      <c r="E106" s="801"/>
      <c r="F106" s="801"/>
      <c r="G106" s="801"/>
      <c r="H106" s="802"/>
      <c r="I106" s="12"/>
      <c r="J106" s="800"/>
      <c r="K106" s="801"/>
      <c r="L106" s="801"/>
      <c r="M106" s="801"/>
      <c r="N106" s="801"/>
      <c r="O106" s="801"/>
      <c r="P106" s="801"/>
      <c r="Q106" s="801"/>
      <c r="R106" s="802"/>
    </row>
    <row r="107" spans="1:18" x14ac:dyDescent="0.25">
      <c r="A107" s="193">
        <v>8</v>
      </c>
      <c r="B107" s="800"/>
      <c r="C107" s="801"/>
      <c r="D107" s="801"/>
      <c r="E107" s="801"/>
      <c r="F107" s="801"/>
      <c r="G107" s="801"/>
      <c r="H107" s="802"/>
      <c r="I107" s="12"/>
      <c r="J107" s="800"/>
      <c r="K107" s="801"/>
      <c r="L107" s="801"/>
      <c r="M107" s="801"/>
      <c r="N107" s="801"/>
      <c r="O107" s="801"/>
      <c r="P107" s="801"/>
      <c r="Q107" s="801"/>
      <c r="R107" s="802"/>
    </row>
    <row r="108" spans="1:18" x14ac:dyDescent="0.25">
      <c r="A108" s="193">
        <v>9</v>
      </c>
      <c r="B108" s="800"/>
      <c r="C108" s="801"/>
      <c r="D108" s="801"/>
      <c r="E108" s="801"/>
      <c r="F108" s="801"/>
      <c r="G108" s="801"/>
      <c r="H108" s="802"/>
      <c r="I108" s="12"/>
      <c r="J108" s="800"/>
      <c r="K108" s="801"/>
      <c r="L108" s="801"/>
      <c r="M108" s="801"/>
      <c r="N108" s="801"/>
      <c r="O108" s="801"/>
      <c r="P108" s="801"/>
      <c r="Q108" s="801"/>
      <c r="R108" s="802"/>
    </row>
    <row r="109" spans="1:18" x14ac:dyDescent="0.25">
      <c r="A109" s="193">
        <v>10</v>
      </c>
      <c r="B109" s="800"/>
      <c r="C109" s="801"/>
      <c r="D109" s="801"/>
      <c r="E109" s="801"/>
      <c r="F109" s="801"/>
      <c r="G109" s="801"/>
      <c r="H109" s="802"/>
      <c r="I109" s="12"/>
      <c r="J109" s="800"/>
      <c r="K109" s="801"/>
      <c r="L109" s="801"/>
      <c r="M109" s="801"/>
      <c r="N109" s="801"/>
      <c r="O109" s="801"/>
      <c r="P109" s="801"/>
      <c r="Q109" s="801"/>
      <c r="R109" s="802"/>
    </row>
    <row r="110" spans="1:18" x14ac:dyDescent="0.25">
      <c r="A110" s="526" t="s">
        <v>32</v>
      </c>
      <c r="B110" s="527" t="s">
        <v>324</v>
      </c>
      <c r="C110" s="528"/>
      <c r="D110" s="528"/>
      <c r="E110" s="528"/>
      <c r="F110" s="528"/>
      <c r="G110" s="528"/>
      <c r="H110" s="529"/>
      <c r="I110" s="12"/>
      <c r="J110" s="800"/>
      <c r="K110" s="801"/>
      <c r="L110" s="801"/>
      <c r="M110" s="801"/>
      <c r="N110" s="801"/>
      <c r="O110" s="801"/>
      <c r="P110" s="801"/>
      <c r="Q110" s="801"/>
      <c r="R110" s="802"/>
    </row>
    <row r="113" spans="1:18" x14ac:dyDescent="0.25">
      <c r="A113" s="150" t="s">
        <v>403</v>
      </c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</row>
    <row r="114" spans="1:18" x14ac:dyDescent="0.25">
      <c r="A114" s="508"/>
      <c r="B114" s="509"/>
      <c r="C114" s="509"/>
      <c r="D114" s="509"/>
      <c r="E114" s="509"/>
      <c r="F114" s="509"/>
      <c r="G114" s="509"/>
      <c r="H114" s="509"/>
      <c r="I114" s="509"/>
      <c r="J114" s="509"/>
      <c r="K114" s="509"/>
      <c r="L114" s="509"/>
      <c r="M114" s="509"/>
      <c r="N114" s="509"/>
      <c r="O114" s="509"/>
      <c r="P114" s="509"/>
      <c r="Q114" s="591"/>
      <c r="R114" s="510"/>
    </row>
    <row r="115" spans="1:18" x14ac:dyDescent="0.25">
      <c r="A115" s="511"/>
      <c r="B115" s="512"/>
      <c r="C115" s="512"/>
      <c r="D115" s="512"/>
      <c r="E115" s="512"/>
      <c r="F115" s="512"/>
      <c r="G115" s="512"/>
      <c r="H115" s="512"/>
      <c r="I115" s="512"/>
      <c r="J115" s="512"/>
      <c r="K115" s="512"/>
      <c r="L115" s="512"/>
      <c r="M115" s="512"/>
      <c r="N115" s="512"/>
      <c r="O115" s="512"/>
      <c r="P115" s="512"/>
      <c r="Q115" s="594"/>
      <c r="R115" s="513"/>
    </row>
    <row r="116" spans="1:18" x14ac:dyDescent="0.25">
      <c r="A116" s="511"/>
      <c r="B116" s="512"/>
      <c r="C116" s="512"/>
      <c r="D116" s="512"/>
      <c r="E116" s="512"/>
      <c r="F116" s="512"/>
      <c r="G116" s="512"/>
      <c r="H116" s="512"/>
      <c r="I116" s="512"/>
      <c r="J116" s="512"/>
      <c r="K116" s="512"/>
      <c r="L116" s="512"/>
      <c r="M116" s="512"/>
      <c r="N116" s="512"/>
      <c r="O116" s="512"/>
      <c r="P116" s="512"/>
      <c r="Q116" s="594"/>
      <c r="R116" s="513"/>
    </row>
    <row r="117" spans="1:18" x14ac:dyDescent="0.25">
      <c r="A117" s="511"/>
      <c r="B117" s="512"/>
      <c r="C117" s="512"/>
      <c r="D117" s="512"/>
      <c r="E117" s="512"/>
      <c r="F117" s="512"/>
      <c r="G117" s="512"/>
      <c r="H117" s="512"/>
      <c r="I117" s="512"/>
      <c r="J117" s="512"/>
      <c r="K117" s="512"/>
      <c r="L117" s="512"/>
      <c r="M117" s="512"/>
      <c r="N117" s="512"/>
      <c r="O117" s="512"/>
      <c r="P117" s="512"/>
      <c r="Q117" s="594"/>
      <c r="R117" s="513"/>
    </row>
    <row r="118" spans="1:18" x14ac:dyDescent="0.25">
      <c r="A118" s="514"/>
      <c r="B118" s="515"/>
      <c r="C118" s="515"/>
      <c r="D118" s="515"/>
      <c r="E118" s="515"/>
      <c r="F118" s="515"/>
      <c r="G118" s="515"/>
      <c r="H118" s="515"/>
      <c r="I118" s="515"/>
      <c r="J118" s="515"/>
      <c r="K118" s="515"/>
      <c r="L118" s="515"/>
      <c r="M118" s="515"/>
      <c r="N118" s="515"/>
      <c r="O118" s="515"/>
      <c r="P118" s="515"/>
      <c r="Q118" s="588"/>
      <c r="R118" s="516"/>
    </row>
  </sheetData>
  <mergeCells count="16">
    <mergeCell ref="B105:H105"/>
    <mergeCell ref="B106:H106"/>
    <mergeCell ref="B107:H107"/>
    <mergeCell ref="B108:H108"/>
    <mergeCell ref="B109:H109"/>
    <mergeCell ref="J110:R110"/>
    <mergeCell ref="J100:R100"/>
    <mergeCell ref="J101:R101"/>
    <mergeCell ref="J102:R102"/>
    <mergeCell ref="J103:R103"/>
    <mergeCell ref="J104:R104"/>
    <mergeCell ref="J105:R105"/>
    <mergeCell ref="J106:R106"/>
    <mergeCell ref="J107:R107"/>
    <mergeCell ref="J108:R108"/>
    <mergeCell ref="J109:R109"/>
  </mergeCells>
  <conditionalFormatting sqref="G27">
    <cfRule type="cellIs" dxfId="18" priority="37" operator="equal">
      <formula>"IKKE OK"</formula>
    </cfRule>
    <cfRule type="cellIs" dxfId="17" priority="38" operator="equal">
      <formula>"OK"</formula>
    </cfRule>
  </conditionalFormatting>
  <conditionalFormatting sqref="G29">
    <cfRule type="cellIs" dxfId="16" priority="35" operator="equal">
      <formula>"IKKE OK"</formula>
    </cfRule>
    <cfRule type="cellIs" dxfId="15" priority="36" operator="equal">
      <formula>"OK"</formula>
    </cfRule>
  </conditionalFormatting>
  <conditionalFormatting sqref="E82:E84">
    <cfRule type="cellIs" dxfId="14" priority="33" operator="equal">
      <formula>"IKKE OK"</formula>
    </cfRule>
    <cfRule type="cellIs" dxfId="13" priority="34" operator="equal">
      <formula>"OK"</formula>
    </cfRule>
  </conditionalFormatting>
  <conditionalFormatting sqref="N59 O58:O59">
    <cfRule type="cellIs" dxfId="12" priority="25" stopIfTrue="1" operator="equal">
      <formula>"Ikke OK"</formula>
    </cfRule>
    <cfRule type="cellIs" dxfId="11" priority="26" stopIfTrue="1" operator="equal">
      <formula>"OK"</formula>
    </cfRule>
  </conditionalFormatting>
  <conditionalFormatting sqref="I100:I110">
    <cfRule type="cellIs" dxfId="10" priority="3" operator="equal">
      <formula>"IKKE OK"</formula>
    </cfRule>
    <cfRule type="cellIs" dxfId="9" priority="4" operator="equal">
      <formula>"OK"</formula>
    </cfRule>
  </conditionalFormatting>
  <conditionalFormatting sqref="F58:F60">
    <cfRule type="cellIs" dxfId="8" priority="27" stopIfTrue="1" operator="equal">
      <formula>"Ikke OK"</formula>
    </cfRule>
    <cfRule type="cellIs" dxfId="7" priority="28" stopIfTrue="1" operator="equal">
      <formula>"OK"</formula>
    </cfRule>
  </conditionalFormatting>
  <conditionalFormatting sqref="B105:H109">
    <cfRule type="cellIs" dxfId="6" priority="2" operator="notEqual">
      <formula>""</formula>
    </cfRule>
  </conditionalFormatting>
  <conditionalFormatting sqref="I110">
    <cfRule type="cellIs" dxfId="5" priority="1" operator="equal">
      <formula>""</formula>
    </cfRule>
  </conditionalFormatting>
  <pageMargins left="0.55118110236220474" right="0.31496062992125984" top="0.47244094488188981" bottom="0.47244094488188981" header="0.31496062992125984" footer="0.31496062992125984"/>
  <pageSetup paperSize="9" scale="80" orientation="landscape" r:id="rId1"/>
  <ignoredErrors>
    <ignoredError sqref="F27 F2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Data!$F$82:$F$85</xm:f>
          </x14:formula1>
          <xm:sqref>I100:I110</xm:sqref>
        </x14:dataValidation>
        <x14:dataValidation type="list" allowBlank="1" showInputMessage="1" showErrorMessage="1">
          <x14:formula1>
            <xm:f>Data!$G$76:$G$78</xm:f>
          </x14:formula1>
          <xm:sqref>P58:P59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"/>
  <sheetViews>
    <sheetView workbookViewId="0">
      <selection activeCell="E15" sqref="E15"/>
    </sheetView>
  </sheetViews>
  <sheetFormatPr defaultRowHeight="15" x14ac:dyDescent="0.25"/>
  <cols>
    <col min="1" max="1" width="12.5703125" customWidth="1"/>
    <col min="9" max="9" width="9.140625" customWidth="1"/>
    <col min="16" max="16" width="11.140625" customWidth="1"/>
    <col min="19" max="19" width="2.85546875" customWidth="1"/>
  </cols>
  <sheetData>
    <row r="1" spans="1:18" x14ac:dyDescent="0.25">
      <c r="A1" s="89" t="s">
        <v>280</v>
      </c>
      <c r="B1" s="90"/>
      <c r="C1" s="90"/>
      <c r="D1" s="91" t="str">
        <f>IF(Oplysningsside!B9="","",Oplysningsside!B9)</f>
        <v>Region H</v>
      </c>
      <c r="E1" s="90"/>
      <c r="F1" s="90"/>
      <c r="G1" s="92" t="s">
        <v>281</v>
      </c>
      <c r="H1" s="90"/>
      <c r="I1" s="91" t="str">
        <f>IF(Oplysningsside!B23="","",Oplysningsside!B23)</f>
        <v>Modtagekontrol</v>
      </c>
      <c r="J1" s="90"/>
      <c r="K1" s="90"/>
      <c r="L1" s="90"/>
      <c r="M1" s="92" t="s">
        <v>282</v>
      </c>
      <c r="N1" s="90"/>
      <c r="O1" s="91" t="str">
        <f>IF(Oplysningsside!B22="","",Oplysningsside!B22)</f>
        <v>Siemens</v>
      </c>
      <c r="P1" s="90"/>
      <c r="Q1" s="90"/>
      <c r="R1" s="263"/>
    </row>
    <row r="2" spans="1:18" x14ac:dyDescent="0.25">
      <c r="A2" s="95" t="s">
        <v>283</v>
      </c>
      <c r="B2" s="96"/>
      <c r="C2" s="96"/>
      <c r="D2" s="97" t="str">
        <f>IF(Oplysningsside!B10="","",Oplysningsside!B10)</f>
        <v>HGH Gentofte</v>
      </c>
      <c r="E2" s="96"/>
      <c r="F2" s="96"/>
      <c r="G2" s="98" t="s">
        <v>284</v>
      </c>
      <c r="H2" s="96"/>
      <c r="I2" s="97" t="str">
        <f>IF(Oplysningsside!B15="","",Oplysningsside!B15)</f>
        <v>Revelation</v>
      </c>
      <c r="J2" s="96"/>
      <c r="K2" s="96"/>
      <c r="L2" s="96"/>
      <c r="M2" s="98" t="s">
        <v>285</v>
      </c>
      <c r="N2" s="96"/>
      <c r="O2" s="97" t="str">
        <f>IF(Oplysningsside!B24="","",Oplysningsside!B24)</f>
        <v>01.01.2022</v>
      </c>
      <c r="P2" s="96"/>
      <c r="Q2" s="96"/>
      <c r="R2" s="265"/>
    </row>
    <row r="3" spans="1:18" x14ac:dyDescent="0.25">
      <c r="A3" s="100" t="s">
        <v>286</v>
      </c>
      <c r="B3" s="96"/>
      <c r="C3" s="96"/>
      <c r="D3" s="97" t="str">
        <f>IF(Oplysningsside!B11="","",Oplysningsside!B11)</f>
        <v>Gentofte Screening</v>
      </c>
      <c r="E3" s="96"/>
      <c r="F3" s="96"/>
      <c r="G3" s="98" t="s">
        <v>287</v>
      </c>
      <c r="H3" s="96"/>
      <c r="I3" s="101">
        <f>IF(Oplysningsside!B16="","",Oplysningsside!B16)</f>
        <v>1234</v>
      </c>
      <c r="J3" s="96"/>
      <c r="K3" s="96"/>
      <c r="L3" s="96"/>
      <c r="M3" s="98" t="s">
        <v>288</v>
      </c>
      <c r="N3" s="96"/>
      <c r="O3" s="97" t="str">
        <f>IF(Oplysningsside!B26="","",Oplysningsside!B26)</f>
        <v>EA</v>
      </c>
      <c r="P3" s="96"/>
      <c r="Q3" s="96"/>
      <c r="R3" s="265"/>
    </row>
    <row r="4" spans="1:18" x14ac:dyDescent="0.25">
      <c r="A4" s="343" t="s">
        <v>289</v>
      </c>
      <c r="B4" s="103"/>
      <c r="C4" s="103"/>
      <c r="D4" s="447" t="str">
        <f>IF(Oplysningsside!B12="","",Oplysningsside!B12)</f>
        <v>MAM 1</v>
      </c>
      <c r="E4" s="103"/>
      <c r="F4" s="103"/>
      <c r="G4" s="344" t="s">
        <v>290</v>
      </c>
      <c r="H4" s="103"/>
      <c r="I4" s="448">
        <f>IF(Oplysningsside!B17="","",Oplysningsside!B17)</f>
        <v>1234</v>
      </c>
      <c r="J4" s="103"/>
      <c r="K4" s="103"/>
      <c r="L4" s="103"/>
      <c r="M4" s="103" t="s">
        <v>291</v>
      </c>
      <c r="N4" s="103"/>
      <c r="O4" s="447" t="str">
        <f>IF(Oplysningsside!B25="","",Oplysningsside!B25)</f>
        <v>01.01.2022</v>
      </c>
      <c r="P4" s="103"/>
      <c r="Q4" s="103"/>
      <c r="R4" s="267"/>
    </row>
    <row r="5" spans="1:18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26.25" x14ac:dyDescent="0.4">
      <c r="A6" s="133" t="s">
        <v>713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6" t="str">
        <f>IF(Oplysningsside!$B$23="","",Oplysningsside!$B$23)</f>
        <v>Modtagekontrol</v>
      </c>
      <c r="P6" s="136"/>
      <c r="Q6" s="134"/>
      <c r="R6" s="136" t="str">
        <f>IF(Oplysningsside!$B$24="","",Oplysningsside!$B$24)</f>
        <v>01.01.2022</v>
      </c>
    </row>
    <row r="7" spans="1:18" x14ac:dyDescent="0.25">
      <c r="A7" s="335"/>
      <c r="B7" s="335"/>
      <c r="C7" s="335"/>
      <c r="D7" s="335"/>
    </row>
    <row r="8" spans="1:18" ht="18.75" x14ac:dyDescent="0.3">
      <c r="A8" s="116" t="s">
        <v>720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</row>
    <row r="9" spans="1:18" ht="18.75" x14ac:dyDescent="0.3">
      <c r="A9" s="116" t="s">
        <v>723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</row>
    <row r="10" spans="1:18" x14ac:dyDescent="0.25">
      <c r="A10" s="335"/>
      <c r="B10" s="335"/>
      <c r="C10" s="335"/>
      <c r="D10" s="335"/>
    </row>
    <row r="11" spans="1:18" x14ac:dyDescent="0.25">
      <c r="A11" s="150" t="s">
        <v>721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0" t="s">
        <v>421</v>
      </c>
      <c r="N11" s="151"/>
      <c r="O11" s="151"/>
      <c r="P11" s="151"/>
      <c r="Q11" s="151"/>
      <c r="R11" s="151"/>
    </row>
    <row r="12" spans="1:18" x14ac:dyDescent="0.25">
      <c r="A12" s="141" t="s">
        <v>307</v>
      </c>
      <c r="B12" s="119" t="s">
        <v>400</v>
      </c>
      <c r="C12" s="119"/>
      <c r="D12" s="230"/>
      <c r="E12" s="119"/>
      <c r="F12" s="119"/>
      <c r="G12" s="119"/>
      <c r="H12" s="119"/>
      <c r="I12" s="119"/>
      <c r="J12" s="119"/>
      <c r="K12" s="119"/>
      <c r="L12" s="119"/>
      <c r="M12" s="590"/>
      <c r="N12" s="591"/>
      <c r="O12" s="591"/>
      <c r="P12" s="591"/>
      <c r="Q12" s="591"/>
      <c r="R12" s="592"/>
    </row>
    <row r="13" spans="1:18" x14ac:dyDescent="0.25">
      <c r="A13" s="144" t="s">
        <v>307</v>
      </c>
      <c r="B13" s="120" t="s">
        <v>497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593"/>
      <c r="N13" s="594"/>
      <c r="O13" s="594"/>
      <c r="P13" s="594"/>
      <c r="Q13" s="594"/>
      <c r="R13" s="595"/>
    </row>
    <row r="14" spans="1:18" x14ac:dyDescent="0.25">
      <c r="A14" s="144"/>
      <c r="B14" s="120" t="s">
        <v>527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593"/>
      <c r="N14" s="594"/>
      <c r="O14" s="594"/>
      <c r="P14" s="594"/>
      <c r="Q14" s="594"/>
      <c r="R14" s="595"/>
    </row>
    <row r="15" spans="1:18" x14ac:dyDescent="0.25">
      <c r="A15" s="164"/>
      <c r="B15" s="269" t="s">
        <v>401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593"/>
      <c r="N15" s="594"/>
      <c r="O15" s="594"/>
      <c r="P15" s="594"/>
      <c r="Q15" s="594"/>
      <c r="R15" s="595"/>
    </row>
    <row r="16" spans="1:18" x14ac:dyDescent="0.25">
      <c r="A16" s="164" t="s">
        <v>325</v>
      </c>
      <c r="B16" s="145" t="s">
        <v>499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593"/>
      <c r="N16" s="594"/>
      <c r="O16" s="594"/>
      <c r="P16" s="594"/>
      <c r="Q16" s="594"/>
      <c r="R16" s="595"/>
    </row>
    <row r="17" spans="1:28" x14ac:dyDescent="0.25">
      <c r="A17" s="160"/>
      <c r="B17" s="270" t="s">
        <v>498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574"/>
      <c r="N17" s="543"/>
      <c r="O17" s="543"/>
      <c r="P17" s="543"/>
      <c r="Q17" s="543"/>
      <c r="R17" s="575"/>
    </row>
    <row r="18" spans="1:28" x14ac:dyDescent="0.25">
      <c r="A18" s="145"/>
      <c r="B18" s="271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45"/>
    </row>
    <row r="19" spans="1:28" x14ac:dyDescent="0.25">
      <c r="A19" s="150" t="s">
        <v>500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</row>
    <row r="20" spans="1:28" x14ac:dyDescent="0.25">
      <c r="A20" s="145"/>
      <c r="B20" s="27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</row>
    <row r="21" spans="1:28" x14ac:dyDescent="0.25">
      <c r="A21" s="275" t="s">
        <v>722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530" t="s">
        <v>269</v>
      </c>
      <c r="M21" s="126"/>
      <c r="N21" s="181" t="s">
        <v>270</v>
      </c>
      <c r="O21" s="134"/>
      <c r="P21" s="134"/>
      <c r="Q21" s="134"/>
      <c r="R21" s="530" t="s">
        <v>689</v>
      </c>
      <c r="T21" s="335"/>
      <c r="U21" s="335"/>
      <c r="V21" s="335"/>
      <c r="W21" s="335"/>
      <c r="X21" s="335"/>
      <c r="Y21" s="335"/>
      <c r="Z21" s="335"/>
      <c r="AA21" s="335"/>
      <c r="AB21" s="335"/>
    </row>
    <row r="22" spans="1:28" x14ac:dyDescent="0.25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T22" s="335"/>
      <c r="U22" s="335"/>
      <c r="V22" s="335"/>
      <c r="W22" s="335"/>
      <c r="X22" s="335"/>
      <c r="Y22" s="335"/>
      <c r="Z22" s="335"/>
      <c r="AA22" s="335"/>
      <c r="AB22" s="335"/>
    </row>
    <row r="23" spans="1:28" x14ac:dyDescent="0.25">
      <c r="A23" s="1" t="s">
        <v>262</v>
      </c>
      <c r="B23" s="119" t="s">
        <v>402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43"/>
      <c r="N23" s="691"/>
      <c r="O23" s="692"/>
      <c r="P23" s="692"/>
      <c r="Q23" s="692"/>
      <c r="R23" s="430"/>
      <c r="T23" s="145"/>
      <c r="U23" s="145"/>
      <c r="V23" s="145"/>
      <c r="W23" s="335"/>
      <c r="X23" s="335"/>
      <c r="Y23" s="335"/>
      <c r="Z23" s="335"/>
      <c r="AA23" s="335"/>
      <c r="AB23" s="335"/>
    </row>
    <row r="24" spans="1:28" x14ac:dyDescent="0.25">
      <c r="A24" s="183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48"/>
      <c r="N24" s="693"/>
      <c r="O24" s="694"/>
      <c r="P24" s="694"/>
      <c r="Q24" s="694"/>
      <c r="R24" s="426"/>
      <c r="T24" s="335"/>
      <c r="U24" s="335"/>
      <c r="V24" s="335"/>
      <c r="W24" s="335"/>
      <c r="X24" s="145"/>
      <c r="Y24" s="145"/>
      <c r="Z24" s="145"/>
      <c r="AA24" s="335"/>
      <c r="AB24" s="335"/>
    </row>
    <row r="25" spans="1:28" ht="18" x14ac:dyDescent="0.35">
      <c r="A25" s="152" t="s">
        <v>5</v>
      </c>
      <c r="B25" s="152" t="s">
        <v>25</v>
      </c>
      <c r="C25" s="152" t="s">
        <v>59</v>
      </c>
      <c r="D25" s="152" t="s">
        <v>361</v>
      </c>
      <c r="E25" s="538" t="s">
        <v>347</v>
      </c>
      <c r="F25" s="153" t="s">
        <v>52</v>
      </c>
      <c r="G25" s="539" t="s">
        <v>11</v>
      </c>
      <c r="H25" s="539" t="s">
        <v>57</v>
      </c>
      <c r="I25" s="539" t="s">
        <v>57</v>
      </c>
      <c r="J25" s="539" t="s">
        <v>57</v>
      </c>
      <c r="K25" s="539" t="s">
        <v>57</v>
      </c>
      <c r="L25" s="153" t="s">
        <v>0</v>
      </c>
      <c r="N25" s="538" t="s">
        <v>347</v>
      </c>
      <c r="O25" s="539" t="s">
        <v>29</v>
      </c>
      <c r="P25" s="153" t="s">
        <v>690</v>
      </c>
      <c r="Q25" s="153" t="s">
        <v>0</v>
      </c>
      <c r="R25" s="153" t="s">
        <v>377</v>
      </c>
      <c r="T25" s="335"/>
      <c r="U25" s="165"/>
      <c r="V25" s="165"/>
      <c r="W25" s="335"/>
      <c r="X25" s="165"/>
      <c r="Y25" s="165"/>
      <c r="Z25" s="165"/>
      <c r="AA25" s="335"/>
      <c r="AB25" s="335"/>
    </row>
    <row r="26" spans="1:28" x14ac:dyDescent="0.25">
      <c r="A26" s="154"/>
      <c r="B26" s="154"/>
      <c r="C26" s="154" t="s">
        <v>386</v>
      </c>
      <c r="D26" s="154"/>
      <c r="E26" s="154"/>
      <c r="F26" s="155" t="s">
        <v>26</v>
      </c>
      <c r="G26" s="155"/>
      <c r="H26" s="155" t="s">
        <v>78</v>
      </c>
      <c r="I26" s="155" t="s">
        <v>61</v>
      </c>
      <c r="J26" s="155" t="s">
        <v>58</v>
      </c>
      <c r="K26" s="155" t="s">
        <v>370</v>
      </c>
      <c r="L26" s="155"/>
      <c r="N26" s="154"/>
      <c r="O26" s="155"/>
      <c r="P26" s="155"/>
      <c r="Q26" s="155"/>
      <c r="R26" s="155" t="s">
        <v>30</v>
      </c>
      <c r="T26" s="335"/>
      <c r="U26" s="165"/>
      <c r="V26" s="165"/>
      <c r="W26" s="335"/>
      <c r="X26" s="165"/>
      <c r="Y26" s="165"/>
      <c r="Z26" s="165"/>
      <c r="AA26" s="335"/>
      <c r="AB26" s="335"/>
    </row>
    <row r="27" spans="1:28" x14ac:dyDescent="0.25">
      <c r="A27" s="154"/>
      <c r="B27" s="154"/>
      <c r="C27" s="154"/>
      <c r="D27" s="154"/>
      <c r="E27" s="154"/>
      <c r="F27" s="155"/>
      <c r="G27" s="155"/>
      <c r="H27" s="155" t="s">
        <v>13</v>
      </c>
      <c r="I27" s="155"/>
      <c r="J27" s="155" t="s">
        <v>62</v>
      </c>
      <c r="K27" s="155"/>
      <c r="L27" s="155"/>
      <c r="N27" s="154"/>
      <c r="O27" s="154"/>
      <c r="P27" s="428"/>
      <c r="Q27" s="428"/>
      <c r="R27" s="428"/>
      <c r="T27" s="335"/>
      <c r="U27" s="165"/>
      <c r="V27" s="165"/>
      <c r="W27" s="335"/>
      <c r="X27" s="165"/>
      <c r="Y27" s="165"/>
      <c r="Z27" s="165"/>
      <c r="AA27" s="335"/>
      <c r="AB27" s="335"/>
    </row>
    <row r="28" spans="1:28" x14ac:dyDescent="0.25">
      <c r="A28" s="156"/>
      <c r="B28" s="156" t="s">
        <v>83</v>
      </c>
      <c r="C28" s="156" t="s">
        <v>83</v>
      </c>
      <c r="D28" s="156" t="s">
        <v>344</v>
      </c>
      <c r="E28" s="156" t="s">
        <v>332</v>
      </c>
      <c r="F28" s="157"/>
      <c r="G28" s="157" t="s">
        <v>322</v>
      </c>
      <c r="H28" s="157" t="s">
        <v>310</v>
      </c>
      <c r="I28" s="157" t="s">
        <v>310</v>
      </c>
      <c r="J28" s="156" t="s">
        <v>310</v>
      </c>
      <c r="K28" s="156" t="s">
        <v>310</v>
      </c>
      <c r="L28" s="157"/>
      <c r="N28" s="156" t="s">
        <v>332</v>
      </c>
      <c r="O28" s="427"/>
      <c r="P28" s="155" t="s">
        <v>311</v>
      </c>
      <c r="Q28" s="427"/>
      <c r="R28" s="155" t="s">
        <v>311</v>
      </c>
      <c r="T28" s="335"/>
      <c r="U28" s="43"/>
      <c r="V28" s="43"/>
      <c r="W28" s="335"/>
      <c r="X28" s="165"/>
      <c r="Y28" s="165"/>
      <c r="Z28" s="43"/>
      <c r="AA28" s="335"/>
      <c r="AB28" s="335"/>
    </row>
    <row r="29" spans="1:28" x14ac:dyDescent="0.25">
      <c r="A29" s="18">
        <v>1</v>
      </c>
      <c r="B29" s="25">
        <v>20</v>
      </c>
      <c r="C29" s="25">
        <v>21</v>
      </c>
      <c r="D29" s="422">
        <f>IF($A$23="5.2 A",'5. Automatik (AEC)'!E76,'5. Automatik (AEC)'!E92)</f>
        <v>26</v>
      </c>
      <c r="E29" s="39">
        <f>IF($A$23="5.2 A",'5. Automatik (AEC)'!F76,'5. Automatik (AEC)'!F92)</f>
        <v>29.9</v>
      </c>
      <c r="F29" s="39" t="str">
        <f>IF($A$23="5.2 A",'5. Automatik (AEC)'!G76,'5. Automatik (AEC)'!G92)</f>
        <v>W-Rh</v>
      </c>
      <c r="G29" s="33">
        <f>IF($A$23="5.2 A",'5. Automatik (AEC)'!L76,'5. Automatik (AEC)'!K92)</f>
        <v>0.54100000000000004</v>
      </c>
      <c r="H29" s="34">
        <f>IF($A$23="5.2 A",'5. Automatik (AEC)'!I76,'5. Automatik (AEC)'!J92)</f>
        <v>0.46</v>
      </c>
      <c r="I29" s="423">
        <f>IF($A$23="5.2 A",'5. Automatik (AEC)'!P76,'5. Automatik (AEC)'!O92)</f>
        <v>0.38059973290370713</v>
      </c>
      <c r="J29" s="30">
        <v>0.8</v>
      </c>
      <c r="K29" s="30">
        <v>1.2</v>
      </c>
      <c r="L29" s="489" t="str">
        <f>IF(OR(D29=0,F29=0),"",IF(I29&lt;J29,"OK",IF(AND(I29&gt;J29,I29&lt;K29),"NB!","IKKE OK")))</f>
        <v>OK</v>
      </c>
      <c r="N29" s="30">
        <f>IF('4. DR-detektor'!E133="","",'4. DR-detektor'!E133)</f>
        <v>34.9</v>
      </c>
      <c r="O29" s="431">
        <f>IF('4. DR-detektor'!J133="","",'4. DR-detektor'!J133)</f>
        <v>9.1960784313725448</v>
      </c>
      <c r="P29" s="30">
        <f>IF('4. DR-detektor'!K133="","",'4. DR-detektor'!K133)</f>
        <v>21.818181818181749</v>
      </c>
      <c r="Q29" s="492" t="str">
        <f>IF(P29="","",IF(P29&lt;0,"IKKE OK","OK"))</f>
        <v>OK</v>
      </c>
      <c r="R29" s="276" t="s">
        <v>110</v>
      </c>
      <c r="T29" s="335"/>
      <c r="U29" s="44"/>
      <c r="V29" s="44"/>
      <c r="W29" s="335"/>
      <c r="X29" s="250"/>
      <c r="Y29" s="250"/>
      <c r="Z29" s="44"/>
      <c r="AA29" s="335"/>
      <c r="AB29" s="335"/>
    </row>
    <row r="30" spans="1:28" x14ac:dyDescent="0.25">
      <c r="A30" s="113">
        <v>2</v>
      </c>
      <c r="B30" s="26">
        <v>30</v>
      </c>
      <c r="C30" s="26">
        <v>32</v>
      </c>
      <c r="D30" s="522">
        <f>IF($A$23="5.2 A",'5. Automatik (AEC)'!E77,'5. Automatik (AEC)'!E93)</f>
        <v>27</v>
      </c>
      <c r="E30" s="40">
        <f>IF($A$23="5.2 A",'5. Automatik (AEC)'!F77,'5. Automatik (AEC)'!F93)</f>
        <v>46.5</v>
      </c>
      <c r="F30" s="40" t="str">
        <f>IF($A$23="5.2 A",'5. Automatik (AEC)'!G77,'5. Automatik (AEC)'!G93)</f>
        <v>W-Rh</v>
      </c>
      <c r="G30" s="35">
        <f>IF($A$23="5.2 A",'5. Automatik (AEC)'!L77,'5. Automatik (AEC)'!K93)</f>
        <v>0.55200000000000005</v>
      </c>
      <c r="H30" s="36">
        <f>IF($A$23="5.2 A",'5. Automatik (AEC)'!I77,'5. Automatik (AEC)'!J93)</f>
        <v>0.61</v>
      </c>
      <c r="I30" s="424">
        <f>IF($A$23="5.2 A",'5. Automatik (AEC)'!P77,'5. Automatik (AEC)'!O93)</f>
        <v>0.54225259439917517</v>
      </c>
      <c r="J30" s="31">
        <v>1</v>
      </c>
      <c r="K30" s="31">
        <v>1.5</v>
      </c>
      <c r="L30" s="490" t="str">
        <f t="shared" ref="L30:L35" si="0">IF(OR(D30=0,F30=0),"",IF(I30&lt;J30,"OK",IF(AND(I30&gt;J30,I30&lt;K30),"NB!","IKKE OK")))</f>
        <v>OK</v>
      </c>
      <c r="N30" s="31">
        <f>IF('4. DR-detektor'!E134="","",'4. DR-detektor'!E134)</f>
        <v>51.4</v>
      </c>
      <c r="O30" s="432">
        <f>IF('4. DR-detektor'!J134="","",'4. DR-detektor'!J134)</f>
        <v>8.9183673469387728</v>
      </c>
      <c r="P30" s="31">
        <f>IF('4. DR-detektor'!K134="","",'4. DR-detektor'!K134)</f>
        <v>18.139411608799318</v>
      </c>
      <c r="Q30" s="495" t="str">
        <f>IF(P30="","",IF(P30&lt;0,"IKKE OK","OK"))</f>
        <v>OK</v>
      </c>
      <c r="R30" s="35" t="s">
        <v>110</v>
      </c>
      <c r="T30" s="335"/>
      <c r="U30" s="44"/>
      <c r="V30" s="44"/>
      <c r="W30" s="335"/>
      <c r="X30" s="250"/>
      <c r="Y30" s="250"/>
      <c r="Z30" s="44"/>
      <c r="AA30" s="335"/>
      <c r="AB30" s="335"/>
    </row>
    <row r="31" spans="1:28" x14ac:dyDescent="0.25">
      <c r="A31" s="113">
        <v>3</v>
      </c>
      <c r="B31" s="26">
        <v>40</v>
      </c>
      <c r="C31" s="26">
        <v>45</v>
      </c>
      <c r="D31" s="522">
        <f>IF($A$23="5.2 A",'5. Automatik (AEC)'!E78,'5. Automatik (AEC)'!E94)</f>
        <v>28</v>
      </c>
      <c r="E31" s="40">
        <f>IF($A$23="5.2 A",'5. Automatik (AEC)'!F78,'5. Automatik (AEC)'!F94)</f>
        <v>72.7</v>
      </c>
      <c r="F31" s="40" t="str">
        <f>IF($A$23="5.2 A",'5. Automatik (AEC)'!G78,'5. Automatik (AEC)'!G94)</f>
        <v>W-Rh</v>
      </c>
      <c r="G31" s="35">
        <f>IF($A$23="5.2 A",'5. Automatik (AEC)'!L78,'5. Automatik (AEC)'!K94)</f>
        <v>0.56499999999999995</v>
      </c>
      <c r="H31" s="36">
        <f>IF($A$23="5.2 A",'5. Automatik (AEC)'!I78,'5. Automatik (AEC)'!J94)</f>
        <v>0.84</v>
      </c>
      <c r="I31" s="424">
        <f>IF($A$23="5.2 A",'5. Automatik (AEC)'!P78,'5. Automatik (AEC)'!O94)</f>
        <v>0.80673287488630163</v>
      </c>
      <c r="J31" s="31">
        <v>1.6</v>
      </c>
      <c r="K31" s="31">
        <v>2</v>
      </c>
      <c r="L31" s="490" t="str">
        <f t="shared" si="0"/>
        <v>OK</v>
      </c>
      <c r="N31" s="31">
        <f>IF('4. DR-detektor'!E135="","",'4. DR-detektor'!E135)</f>
        <v>75.400000000000006</v>
      </c>
      <c r="O31" s="432">
        <f>IF('4. DR-detektor'!J135="","",'4. DR-detektor'!J135)</f>
        <v>8.1200000000000045</v>
      </c>
      <c r="P31" s="31">
        <f>IF('4. DR-detektor'!K135="","",'4. DR-detektor'!K135)</f>
        <v>7.5636363636364141</v>
      </c>
      <c r="Q31" s="495" t="str">
        <f>IF(P31="","",IF(P31&lt;0,"IKKE OK","OK"))</f>
        <v>OK</v>
      </c>
      <c r="R31" s="35" t="s">
        <v>110</v>
      </c>
      <c r="T31" s="335"/>
      <c r="U31" s="44"/>
      <c r="V31" s="44"/>
      <c r="W31" s="335"/>
      <c r="X31" s="250"/>
      <c r="Y31" s="250"/>
      <c r="Z31" s="44"/>
      <c r="AA31" s="335"/>
      <c r="AB31" s="335"/>
    </row>
    <row r="32" spans="1:28" x14ac:dyDescent="0.25">
      <c r="A32" s="113">
        <v>4</v>
      </c>
      <c r="B32" s="26">
        <v>45</v>
      </c>
      <c r="C32" s="26">
        <v>53</v>
      </c>
      <c r="D32" s="522">
        <f>IF($A$23="5.2 A",'5. Automatik (AEC)'!E79,'5. Automatik (AEC)'!E95)</f>
        <v>29</v>
      </c>
      <c r="E32" s="40">
        <f>IF($A$23="5.2 A",'5. Automatik (AEC)'!F79,'5. Automatik (AEC)'!F95)</f>
        <v>88.2</v>
      </c>
      <c r="F32" s="40" t="str">
        <f>IF($A$23="5.2 A",'5. Automatik (AEC)'!G79,'5. Automatik (AEC)'!G95)</f>
        <v>W-Rh</v>
      </c>
      <c r="G32" s="35">
        <f>IF($A$23="5.2 A",'5. Automatik (AEC)'!L79,'5. Automatik (AEC)'!K95)</f>
        <v>0.57099999999999995</v>
      </c>
      <c r="H32" s="36">
        <f>IF($A$23="5.2 A",'5. Automatik (AEC)'!I79,'5. Automatik (AEC)'!J95)</f>
        <v>0.99</v>
      </c>
      <c r="I32" s="424">
        <f>IF($A$23="5.2 A",'5. Automatik (AEC)'!P79,'5. Automatik (AEC)'!O95)</f>
        <v>1.0073354444646405</v>
      </c>
      <c r="J32" s="31">
        <v>2</v>
      </c>
      <c r="K32" s="31">
        <v>2.5</v>
      </c>
      <c r="L32" s="490" t="str">
        <f t="shared" si="0"/>
        <v>OK</v>
      </c>
      <c r="N32" s="31">
        <f>IF('4. DR-detektor'!E136="","",'4. DR-detektor'!E136)</f>
        <v>89.1</v>
      </c>
      <c r="O32" s="432">
        <f>IF('4. DR-detektor'!J136="","",'4. DR-detektor'!J136)</f>
        <v>7.549019607843138</v>
      </c>
      <c r="P32" s="31">
        <f>IF('4. DR-detektor'!K136="","",'4. DR-detektor'!K136)</f>
        <v>0</v>
      </c>
      <c r="Q32" s="495" t="str">
        <f>IF(P32="","",IF(P32&lt;0,"IKKE OK","OK"))</f>
        <v>OK</v>
      </c>
      <c r="R32" s="429" t="s">
        <v>111</v>
      </c>
      <c r="T32" s="335"/>
      <c r="U32" s="44"/>
      <c r="V32" s="44"/>
      <c r="W32" s="335"/>
      <c r="X32" s="250"/>
      <c r="Y32" s="250"/>
      <c r="Z32" s="44"/>
      <c r="AA32" s="335"/>
      <c r="AB32" s="335"/>
    </row>
    <row r="33" spans="1:28" x14ac:dyDescent="0.25">
      <c r="A33" s="113">
        <v>5</v>
      </c>
      <c r="B33" s="26">
        <v>50</v>
      </c>
      <c r="C33" s="26">
        <v>60</v>
      </c>
      <c r="D33" s="522">
        <f>IF($A$23="5.2 A",'5. Automatik (AEC)'!E80,'5. Automatik (AEC)'!E96)</f>
        <v>30</v>
      </c>
      <c r="E33" s="40">
        <f>IF($A$23="5.2 A",'5. Automatik (AEC)'!F80,'5. Automatik (AEC)'!F96)</f>
        <v>108</v>
      </c>
      <c r="F33" s="40" t="str">
        <f>IF($A$23="5.2 A",'5. Automatik (AEC)'!G80,'5. Automatik (AEC)'!G96)</f>
        <v>W-Rh</v>
      </c>
      <c r="G33" s="35">
        <f>IF($A$23="5.2 A",'5. Automatik (AEC)'!L80,'5. Automatik (AEC)'!K96)</f>
        <v>0.58099999999999996</v>
      </c>
      <c r="H33" s="36">
        <f>IF($A$23="5.2 A",'5. Automatik (AEC)'!I80,'5. Automatik (AEC)'!J96)</f>
        <v>1.19</v>
      </c>
      <c r="I33" s="424">
        <f>IF($A$23="5.2 A",'5. Automatik (AEC)'!P80,'5. Automatik (AEC)'!O96)</f>
        <v>1.2750792497132872</v>
      </c>
      <c r="J33" s="31">
        <v>2.4</v>
      </c>
      <c r="K33" s="31">
        <v>3</v>
      </c>
      <c r="L33" s="490" t="str">
        <f t="shared" si="0"/>
        <v>OK</v>
      </c>
      <c r="N33" s="31">
        <f>IF('4. DR-detektor'!E137="","",'4. DR-detektor'!E137)</f>
        <v>97</v>
      </c>
      <c r="O33" s="432">
        <f>IF('4. DR-detektor'!J137="","",'4. DR-detektor'!J137)</f>
        <v>6.9215686274509833</v>
      </c>
      <c r="P33" s="31">
        <f>IF('4. DR-detektor'!K137="","",'4. DR-detektor'!K137)</f>
        <v>-8.3116883116882807</v>
      </c>
      <c r="Q33" s="495" t="str">
        <f>IF(P33="","",IF(P33&lt;-15,"IKKE OK","OK"))</f>
        <v>OK</v>
      </c>
      <c r="R33" s="35" t="s">
        <v>112</v>
      </c>
      <c r="T33" s="335"/>
      <c r="U33" s="44"/>
      <c r="V33" s="44"/>
      <c r="W33" s="335"/>
      <c r="X33" s="250"/>
      <c r="Y33" s="250"/>
      <c r="Z33" s="44"/>
      <c r="AA33" s="335"/>
      <c r="AB33" s="335"/>
    </row>
    <row r="34" spans="1:28" x14ac:dyDescent="0.25">
      <c r="A34" s="113">
        <v>6</v>
      </c>
      <c r="B34" s="26">
        <v>60</v>
      </c>
      <c r="C34" s="26">
        <v>75</v>
      </c>
      <c r="D34" s="522">
        <f>IF($A$23="5.2 A",'5. Automatik (AEC)'!E81,'5. Automatik (AEC)'!E97)</f>
        <v>31</v>
      </c>
      <c r="E34" s="40">
        <f>IF($A$23="5.2 A",'5. Automatik (AEC)'!F81,'5. Automatik (AEC)'!F97)</f>
        <v>162.5</v>
      </c>
      <c r="F34" s="40" t="str">
        <f>IF($A$23="5.2 A",'5. Automatik (AEC)'!G81,'5. Automatik (AEC)'!G97)</f>
        <v>W-Rh</v>
      </c>
      <c r="G34" s="35">
        <f>IF($A$23="5.2 A",'5. Automatik (AEC)'!L81,'5. Automatik (AEC)'!K97)</f>
        <v>0.58499999999999996</v>
      </c>
      <c r="H34" s="36">
        <f>IF($A$23="5.2 A",'5. Automatik (AEC)'!I81,'5. Automatik (AEC)'!J97)</f>
        <v>1.66</v>
      </c>
      <c r="I34" s="424">
        <f>IF($A$23="5.2 A",'5. Automatik (AEC)'!P81,'5. Automatik (AEC)'!O97)</f>
        <v>1.8833990647121719</v>
      </c>
      <c r="J34" s="31">
        <v>3.6</v>
      </c>
      <c r="K34" s="31">
        <v>4.5</v>
      </c>
      <c r="L34" s="490" t="str">
        <f t="shared" si="0"/>
        <v>OK</v>
      </c>
      <c r="N34" s="32">
        <f>IF('4. DR-detektor'!E138="","",'4. DR-detektor'!E138)</f>
        <v>138.19999999999999</v>
      </c>
      <c r="O34" s="433">
        <f>IF('4. DR-detektor'!J138="","",'4. DR-detektor'!J138)</f>
        <v>6.2115384615384635</v>
      </c>
      <c r="P34" s="32">
        <f>IF('4. DR-detektor'!K138="","",'4. DR-detektor'!K138)</f>
        <v>-17.7172827172827</v>
      </c>
      <c r="Q34" s="494" t="str">
        <f>IF(P34="","",IF(P34&lt;-30,"IKKE OK","OK"))</f>
        <v>OK</v>
      </c>
      <c r="R34" s="37" t="s">
        <v>113</v>
      </c>
      <c r="T34" s="335"/>
      <c r="U34" s="44"/>
      <c r="V34" s="44"/>
      <c r="W34" s="335"/>
      <c r="X34" s="250"/>
      <c r="Y34" s="250"/>
      <c r="Z34" s="44"/>
      <c r="AA34" s="335"/>
      <c r="AB34" s="335"/>
    </row>
    <row r="35" spans="1:28" x14ac:dyDescent="0.25">
      <c r="A35" s="121">
        <v>7</v>
      </c>
      <c r="B35" s="27">
        <v>70</v>
      </c>
      <c r="C35" s="27">
        <v>90</v>
      </c>
      <c r="D35" s="523">
        <f>IF($A$23="5.2 A",'5. Automatik (AEC)'!E82,'5. Automatik (AEC)'!E98)</f>
        <v>32</v>
      </c>
      <c r="E35" s="41">
        <f>IF($A$23="5.2 A",'5. Automatik (AEC)'!F82,'5. Automatik (AEC)'!F98)</f>
        <v>210.1</v>
      </c>
      <c r="F35" s="41" t="str">
        <f>IF($A$23="5.2 A",'5. Automatik (AEC)'!G82,'5. Automatik (AEC)'!G98)</f>
        <v>W-Rh</v>
      </c>
      <c r="G35" s="37">
        <f>IF($A$23="5.2 A",'5. Automatik (AEC)'!L82,'5. Automatik (AEC)'!K98)</f>
        <v>0.59699999999999998</v>
      </c>
      <c r="H35" s="38">
        <f>IF($A$23="5.2 A",'5. Automatik (AEC)'!I82,'5. Automatik (AEC)'!J98)</f>
        <v>2.0099999999999998</v>
      </c>
      <c r="I35" s="425">
        <f>IF($A$23="5.2 A",'5. Automatik (AEC)'!P82,'5. Automatik (AEC)'!O98)</f>
        <v>2.3865582792108198</v>
      </c>
      <c r="J35" s="32">
        <v>5.0999999999999996</v>
      </c>
      <c r="K35" s="32">
        <v>6.5</v>
      </c>
      <c r="L35" s="491" t="str">
        <f t="shared" si="0"/>
        <v>OK</v>
      </c>
      <c r="N35" s="47"/>
      <c r="O35" s="47"/>
      <c r="P35" s="47"/>
      <c r="Q35" s="618"/>
      <c r="R35" s="44"/>
      <c r="T35" s="335"/>
      <c r="U35" s="44"/>
      <c r="V35" s="44"/>
      <c r="W35" s="335"/>
      <c r="X35" s="250"/>
      <c r="Y35" s="250"/>
      <c r="Z35" s="44"/>
      <c r="AA35" s="335"/>
      <c r="AB35" s="335"/>
    </row>
    <row r="36" spans="1:28" x14ac:dyDescent="0.25">
      <c r="A36" s="174"/>
      <c r="B36" s="43"/>
      <c r="C36" s="43"/>
      <c r="D36" s="615"/>
      <c r="E36" s="245"/>
      <c r="F36" s="245"/>
      <c r="G36" s="44"/>
      <c r="H36" s="45"/>
      <c r="I36" s="45"/>
      <c r="J36" s="47"/>
      <c r="K36" s="47"/>
      <c r="L36" s="616"/>
      <c r="M36" s="617"/>
      <c r="N36" s="47"/>
      <c r="O36" s="47"/>
      <c r="P36" s="47"/>
      <c r="Q36" s="618"/>
      <c r="R36" s="44"/>
      <c r="T36" s="335"/>
      <c r="U36" s="44"/>
      <c r="V36" s="44"/>
      <c r="W36" s="335"/>
      <c r="X36" s="250"/>
      <c r="Y36" s="250"/>
      <c r="Z36" s="44"/>
      <c r="AA36" s="335"/>
      <c r="AB36" s="335"/>
    </row>
    <row r="37" spans="1:28" x14ac:dyDescent="0.25">
      <c r="A37" s="174"/>
      <c r="B37" s="43"/>
      <c r="C37" s="43"/>
      <c r="D37" s="615"/>
      <c r="E37" s="245"/>
      <c r="F37" s="245"/>
      <c r="G37" s="44"/>
      <c r="H37" s="45"/>
      <c r="I37" s="45"/>
      <c r="J37" s="47"/>
      <c r="K37" s="47"/>
      <c r="L37" s="616"/>
      <c r="M37" s="617"/>
      <c r="N37" s="47"/>
      <c r="O37" s="47"/>
      <c r="P37" s="47"/>
      <c r="Q37" s="618"/>
      <c r="R37" s="44"/>
      <c r="T37" s="335"/>
      <c r="U37" s="44"/>
      <c r="V37" s="44"/>
      <c r="W37" s="335"/>
      <c r="X37" s="250"/>
      <c r="Y37" s="250"/>
      <c r="Z37" s="44"/>
      <c r="AA37" s="335"/>
      <c r="AB37" s="335"/>
    </row>
    <row r="38" spans="1:28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T38" s="335"/>
      <c r="U38" s="335"/>
      <c r="V38" s="335"/>
      <c r="W38" s="335"/>
      <c r="X38" s="335"/>
      <c r="Y38" s="335"/>
      <c r="Z38" s="335"/>
      <c r="AA38" s="335"/>
      <c r="AB38" s="335"/>
    </row>
    <row r="39" spans="1:28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T39" s="335"/>
      <c r="U39" s="335"/>
      <c r="V39" s="335"/>
      <c r="W39" s="335"/>
      <c r="X39" s="696"/>
      <c r="Y39" s="335"/>
      <c r="Z39" s="335"/>
      <c r="AA39" s="335"/>
      <c r="AB39" s="335"/>
    </row>
    <row r="40" spans="1:28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T40" s="335"/>
      <c r="U40" s="335"/>
      <c r="V40" s="335"/>
      <c r="W40" s="335"/>
      <c r="X40" s="696"/>
      <c r="Y40" s="335"/>
      <c r="Z40" s="335"/>
      <c r="AA40" s="335"/>
      <c r="AB40" s="335"/>
    </row>
    <row r="41" spans="1:28" x14ac:dyDescent="0.25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T41" s="335"/>
      <c r="U41" s="335"/>
      <c r="V41" s="335"/>
      <c r="W41" s="335"/>
      <c r="X41" s="696"/>
      <c r="Y41" s="335"/>
      <c r="Z41" s="335"/>
      <c r="AA41" s="335"/>
      <c r="AB41" s="335"/>
    </row>
    <row r="42" spans="1:28" x14ac:dyDescent="0.2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T42" s="335"/>
      <c r="U42" s="335"/>
      <c r="V42" s="335"/>
      <c r="W42" s="335"/>
      <c r="X42" s="696"/>
      <c r="Y42" s="335"/>
      <c r="Z42" s="335"/>
      <c r="AA42" s="335"/>
      <c r="AB42" s="335"/>
    </row>
    <row r="43" spans="1:28" x14ac:dyDescent="0.2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T43" s="335"/>
      <c r="U43" s="335"/>
      <c r="V43" s="335"/>
      <c r="W43" s="335"/>
      <c r="X43" s="696"/>
      <c r="Y43" s="335"/>
      <c r="Z43" s="335"/>
      <c r="AA43" s="335"/>
      <c r="AB43" s="335"/>
    </row>
    <row r="44" spans="1:28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T44" s="335"/>
      <c r="U44" s="335"/>
      <c r="V44" s="335"/>
      <c r="W44" s="335"/>
      <c r="X44" s="696"/>
      <c r="Y44" s="335"/>
      <c r="Z44" s="335"/>
      <c r="AA44" s="335"/>
      <c r="AB44" s="335"/>
    </row>
    <row r="45" spans="1:28" x14ac:dyDescent="0.2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T45" s="335"/>
      <c r="U45" s="335"/>
      <c r="V45" s="335"/>
      <c r="W45" s="335"/>
      <c r="X45" s="335"/>
      <c r="Y45" s="335"/>
      <c r="Z45" s="335"/>
      <c r="AA45" s="335"/>
      <c r="AB45" s="335"/>
    </row>
    <row r="46" spans="1:28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T46" s="335"/>
      <c r="U46" s="335"/>
      <c r="V46" s="335"/>
      <c r="W46" s="335"/>
      <c r="X46" s="335"/>
      <c r="Y46" s="335"/>
      <c r="Z46" s="335"/>
      <c r="AA46" s="335"/>
      <c r="AB46" s="335"/>
    </row>
    <row r="47" spans="1:28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T47" s="335"/>
      <c r="U47" s="335"/>
      <c r="V47" s="335"/>
      <c r="W47" s="335"/>
      <c r="X47" s="335"/>
      <c r="Y47" s="335"/>
      <c r="Z47" s="335"/>
      <c r="AA47" s="335"/>
      <c r="AB47" s="335"/>
    </row>
    <row r="48" spans="1:28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T48" s="335"/>
      <c r="U48" s="335"/>
      <c r="V48" s="335"/>
      <c r="W48" s="335"/>
      <c r="X48" s="335"/>
      <c r="Y48" s="335"/>
      <c r="Z48" s="335"/>
      <c r="AA48" s="335"/>
      <c r="AB48" s="335"/>
    </row>
    <row r="49" spans="1:28" x14ac:dyDescent="0.2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T49" s="335"/>
      <c r="U49" s="335"/>
      <c r="V49" s="335"/>
      <c r="W49" s="335"/>
      <c r="X49" s="335"/>
      <c r="Y49" s="335"/>
      <c r="Z49" s="335"/>
      <c r="AA49" s="335"/>
      <c r="AB49" s="335"/>
    </row>
    <row r="50" spans="1:28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T50" s="335"/>
      <c r="U50" s="335"/>
      <c r="V50" s="335"/>
      <c r="W50" s="335"/>
      <c r="X50" s="335"/>
      <c r="Y50" s="335"/>
      <c r="Z50" s="335"/>
      <c r="AA50" s="335"/>
      <c r="AB50" s="335"/>
    </row>
    <row r="51" spans="1:28" x14ac:dyDescent="0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T51" s="335"/>
      <c r="U51" s="335"/>
      <c r="V51" s="335"/>
      <c r="W51" s="335"/>
      <c r="X51" s="335"/>
      <c r="Y51" s="335"/>
      <c r="Z51" s="335"/>
      <c r="AA51" s="335"/>
      <c r="AB51" s="335"/>
    </row>
    <row r="52" spans="1:28" x14ac:dyDescent="0.25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T52" s="335"/>
      <c r="U52" s="335"/>
      <c r="V52" s="335"/>
      <c r="W52" s="335"/>
      <c r="X52" s="335"/>
      <c r="Y52" s="335"/>
      <c r="Z52" s="335"/>
      <c r="AA52" s="335"/>
      <c r="AB52" s="335"/>
    </row>
    <row r="53" spans="1:28" x14ac:dyDescent="0.2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T53" s="335"/>
      <c r="U53" s="335"/>
      <c r="V53" s="335"/>
      <c r="W53" s="335"/>
      <c r="X53" s="335"/>
      <c r="Y53" s="335"/>
      <c r="Z53" s="335"/>
      <c r="AA53" s="335"/>
      <c r="AB53" s="335"/>
    </row>
    <row r="54" spans="1:28" x14ac:dyDescent="0.2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T54" s="335"/>
      <c r="U54" s="335"/>
      <c r="V54" s="335"/>
      <c r="W54" s="335"/>
      <c r="X54" s="335"/>
      <c r="Y54" s="335"/>
      <c r="Z54" s="335"/>
      <c r="AA54" s="335"/>
      <c r="AB54" s="335"/>
    </row>
    <row r="55" spans="1:28" x14ac:dyDescent="0.2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T55" s="335"/>
      <c r="U55" s="335"/>
      <c r="V55" s="335"/>
      <c r="W55" s="335"/>
      <c r="X55" s="335"/>
      <c r="Y55" s="335"/>
      <c r="Z55" s="335"/>
      <c r="AA55" s="335"/>
      <c r="AB55" s="335"/>
    </row>
    <row r="56" spans="1:28" x14ac:dyDescent="0.25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T56" s="335"/>
      <c r="U56" s="335"/>
      <c r="V56" s="335"/>
      <c r="W56" s="335"/>
      <c r="X56" s="335"/>
      <c r="Y56" s="335"/>
      <c r="Z56" s="335"/>
      <c r="AA56" s="335"/>
      <c r="AB56" s="335"/>
    </row>
    <row r="57" spans="1:28" x14ac:dyDescent="0.2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T57" s="335"/>
      <c r="U57" s="335"/>
      <c r="V57" s="335"/>
      <c r="W57" s="335"/>
      <c r="X57" s="335"/>
      <c r="Y57" s="335"/>
      <c r="Z57" s="335"/>
      <c r="AA57" s="335"/>
      <c r="AB57" s="335"/>
    </row>
    <row r="58" spans="1:28" x14ac:dyDescent="0.2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T58" s="335"/>
      <c r="U58" s="335"/>
      <c r="V58" s="335"/>
      <c r="W58" s="335"/>
      <c r="X58" s="335"/>
      <c r="Y58" s="335"/>
      <c r="Z58" s="335"/>
      <c r="AA58" s="335"/>
      <c r="AB58" s="335"/>
    </row>
    <row r="59" spans="1:28" x14ac:dyDescent="0.25">
      <c r="A59" s="138" t="s">
        <v>719</v>
      </c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T59" s="165"/>
      <c r="U59" s="165"/>
      <c r="V59" s="335"/>
      <c r="W59" s="335"/>
      <c r="X59" s="335"/>
      <c r="Y59" s="335"/>
      <c r="Z59" s="335"/>
      <c r="AA59" s="335"/>
      <c r="AB59" s="335"/>
    </row>
    <row r="60" spans="1:28" x14ac:dyDescent="0.25">
      <c r="A60" s="508"/>
      <c r="B60" s="509"/>
      <c r="C60" s="509"/>
      <c r="D60" s="509"/>
      <c r="E60" s="509"/>
      <c r="F60" s="509"/>
      <c r="G60" s="509"/>
      <c r="H60" s="509"/>
      <c r="I60" s="509"/>
      <c r="J60" s="509"/>
      <c r="K60" s="509"/>
      <c r="L60" s="509"/>
      <c r="M60" s="509"/>
      <c r="N60" s="509"/>
      <c r="O60" s="509"/>
      <c r="P60" s="509"/>
      <c r="Q60" s="509"/>
      <c r="R60" s="510"/>
      <c r="T60" s="165"/>
      <c r="U60" s="165"/>
      <c r="V60" s="335"/>
      <c r="W60" s="335"/>
      <c r="X60" s="335"/>
      <c r="Y60" s="335"/>
      <c r="Z60" s="335"/>
      <c r="AA60" s="335"/>
      <c r="AB60" s="335"/>
    </row>
    <row r="61" spans="1:28" x14ac:dyDescent="0.25">
      <c r="A61" s="511"/>
      <c r="B61" s="512"/>
      <c r="C61" s="512"/>
      <c r="D61" s="512"/>
      <c r="E61" s="512"/>
      <c r="F61" s="512"/>
      <c r="G61" s="512"/>
      <c r="H61" s="512"/>
      <c r="I61" s="512"/>
      <c r="J61" s="512"/>
      <c r="K61" s="512"/>
      <c r="L61" s="512"/>
      <c r="M61" s="512"/>
      <c r="N61" s="512"/>
      <c r="O61" s="512"/>
      <c r="P61" s="512"/>
      <c r="Q61" s="512"/>
      <c r="R61" s="513"/>
      <c r="T61" s="165"/>
      <c r="U61" s="165"/>
      <c r="V61" s="335"/>
      <c r="W61" s="335"/>
      <c r="X61" s="335"/>
      <c r="Y61" s="335"/>
      <c r="Z61" s="335"/>
      <c r="AA61" s="335"/>
      <c r="AB61" s="335"/>
    </row>
    <row r="62" spans="1:28" x14ac:dyDescent="0.25">
      <c r="A62" s="511"/>
      <c r="B62" s="512"/>
      <c r="C62" s="512"/>
      <c r="D62" s="512"/>
      <c r="E62" s="512"/>
      <c r="F62" s="512"/>
      <c r="G62" s="512"/>
      <c r="H62" s="512"/>
      <c r="I62" s="512"/>
      <c r="J62" s="512"/>
      <c r="K62" s="512"/>
      <c r="L62" s="512"/>
      <c r="M62" s="512"/>
      <c r="N62" s="512"/>
      <c r="O62" s="512"/>
      <c r="P62" s="512"/>
      <c r="Q62" s="512"/>
      <c r="R62" s="513"/>
      <c r="T62" s="43"/>
      <c r="U62" s="165"/>
      <c r="V62" s="335"/>
      <c r="W62" s="335"/>
      <c r="X62" s="335"/>
      <c r="Y62" s="335"/>
      <c r="Z62" s="335"/>
      <c r="AA62" s="335"/>
      <c r="AB62" s="335"/>
    </row>
    <row r="63" spans="1:28" x14ac:dyDescent="0.25">
      <c r="A63" s="511"/>
      <c r="B63" s="512"/>
      <c r="C63" s="512"/>
      <c r="D63" s="512"/>
      <c r="E63" s="512"/>
      <c r="F63" s="512"/>
      <c r="G63" s="512"/>
      <c r="H63" s="512"/>
      <c r="I63" s="512"/>
      <c r="J63" s="512"/>
      <c r="K63" s="512"/>
      <c r="L63" s="512"/>
      <c r="M63" s="512"/>
      <c r="N63" s="512"/>
      <c r="O63" s="512"/>
      <c r="P63" s="512"/>
      <c r="Q63" s="512"/>
      <c r="R63" s="513"/>
      <c r="T63" s="434"/>
      <c r="U63" s="435"/>
      <c r="V63" s="335"/>
      <c r="W63" s="335"/>
      <c r="X63" s="335"/>
      <c r="Y63" s="335"/>
      <c r="Z63" s="335"/>
      <c r="AA63" s="335"/>
      <c r="AB63" s="335"/>
    </row>
    <row r="64" spans="1:28" x14ac:dyDescent="0.25">
      <c r="A64" s="514"/>
      <c r="B64" s="515"/>
      <c r="C64" s="515"/>
      <c r="D64" s="515"/>
      <c r="E64" s="515"/>
      <c r="F64" s="515"/>
      <c r="G64" s="515"/>
      <c r="H64" s="515"/>
      <c r="I64" s="515"/>
      <c r="J64" s="515"/>
      <c r="K64" s="515"/>
      <c r="L64" s="515"/>
      <c r="M64" s="515"/>
      <c r="N64" s="515"/>
      <c r="O64" s="515"/>
      <c r="P64" s="515"/>
      <c r="Q64" s="515"/>
      <c r="R64" s="516"/>
      <c r="T64" s="434"/>
      <c r="U64" s="436"/>
      <c r="V64" s="335"/>
      <c r="W64" s="335"/>
      <c r="X64" s="335"/>
      <c r="Y64" s="335"/>
      <c r="Z64" s="335"/>
      <c r="AA64" s="335"/>
      <c r="AB64" s="335"/>
    </row>
    <row r="65" spans="20:28" x14ac:dyDescent="0.25">
      <c r="T65" s="434"/>
      <c r="U65" s="436"/>
      <c r="V65" s="335"/>
      <c r="W65" s="335"/>
      <c r="X65" s="335"/>
      <c r="Y65" s="335"/>
      <c r="Z65" s="335"/>
      <c r="AA65" s="335"/>
      <c r="AB65" s="335"/>
    </row>
  </sheetData>
  <conditionalFormatting sqref="Q29:Q37">
    <cfRule type="cellIs" dxfId="4" priority="2" operator="equal">
      <formula>"OK"</formula>
    </cfRule>
    <cfRule type="cellIs" dxfId="3" priority="3" operator="equal">
      <formula>"IKKE OK"</formula>
    </cfRule>
  </conditionalFormatting>
  <conditionalFormatting sqref="L29:L37">
    <cfRule type="cellIs" dxfId="2" priority="1" operator="equal">
      <formula>"NB"</formula>
    </cfRule>
    <cfRule type="cellIs" dxfId="1" priority="7" operator="equal">
      <formula>"IKKE OK"</formula>
    </cfRule>
    <cfRule type="cellIs" dxfId="0" priority="8" operator="equal">
      <formula>"OK"</formula>
    </cfRule>
  </conditionalFormatting>
  <pageMargins left="0.47244094488188981" right="0.39370078740157483" top="0.55118110236220474" bottom="0.39370078740157483" header="0.31496062992125984" footer="0.31496062992125984"/>
  <pageSetup paperSize="9" scale="80" orientation="landscape" r:id="rId1"/>
  <headerFooter>
    <oddFooter>&amp;L7. Referencedosimetri , DRL&amp;R&amp;P / &amp;N</oddFooter>
  </headerFooter>
  <rowBreaks count="1" manualBreakCount="1">
    <brk id="3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Data!$F$76:$F$77</xm:f>
          </x14:formula1>
          <xm:sqref>A23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3</vt:i4>
      </vt:variant>
    </vt:vector>
  </HeadingPairs>
  <TitlesOfParts>
    <vt:vector size="13" baseType="lpstr">
      <vt:lpstr>Indledning</vt:lpstr>
      <vt:lpstr>Oplysningsside</vt:lpstr>
      <vt:lpstr>Kontroloversigt</vt:lpstr>
      <vt:lpstr>2. Røntgenrør m.m.</vt:lpstr>
      <vt:lpstr>3. Lys- og røntgenfelt</vt:lpstr>
      <vt:lpstr>4. DR-detektor</vt:lpstr>
      <vt:lpstr>5. Automatik (AEC)</vt:lpstr>
      <vt:lpstr>6. Mekanisk kontrol</vt:lpstr>
      <vt:lpstr>7. Referencedosimetri</vt:lpstr>
      <vt:lpstr>Data</vt:lpstr>
      <vt:lpstr>'4. DR-detektor'!_Toc427911270</vt:lpstr>
      <vt:lpstr>'4. DR-detektor'!_Toc427911271</vt:lpstr>
      <vt:lpstr>'7. Referencedosimetri'!Udskriftstitler</vt:lpstr>
    </vt:vector>
  </TitlesOfParts>
  <Company>Region Hovedstaden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Henning Andersen</dc:creator>
  <cp:lastModifiedBy>Peter Kaidin Frederiksen</cp:lastModifiedBy>
  <cp:lastPrinted>2022-06-16T10:43:05Z</cp:lastPrinted>
  <dcterms:created xsi:type="dcterms:W3CDTF">2015-12-13T16:04:15Z</dcterms:created>
  <dcterms:modified xsi:type="dcterms:W3CDTF">2022-08-17T09:24:23Z</dcterms:modified>
</cp:coreProperties>
</file>