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280748\Desktop\Høring_VEJL_gennemlysning\"/>
    </mc:Choice>
  </mc:AlternateContent>
  <xr:revisionPtr revIDLastSave="0" documentId="8_{F01D0DFB-FB0F-453E-BF47-AEBC7418E5A5}" xr6:coauthVersionLast="47" xr6:coauthVersionMax="47" xr10:uidLastSave="{00000000-0000-0000-0000-000000000000}"/>
  <bookViews>
    <workbookView xWindow="30612" yWindow="-108" windowWidth="30936" windowHeight="16776" tabRatio="848" xr2:uid="{00000000-000D-0000-FFFF-FFFF00000000}"/>
  </bookViews>
  <sheets>
    <sheet name="Oplysningsside" sheetId="1" r:id="rId1"/>
    <sheet name="Kontroloversigt" sheetId="2" r:id="rId2"/>
    <sheet name="2. Mekaniske og geometriske par" sheetId="14" r:id="rId3"/>
    <sheet name="3. Røntgenrør og generator" sheetId="13" r:id="rId4"/>
    <sheet name="4. Dosis og dosishastighed" sheetId="15" r:id="rId5"/>
    <sheet name="5. Monitorer og billedkvalitet" sheetId="16" r:id="rId6"/>
    <sheet name="6. Eftersyn" sheetId="17" r:id="rId7"/>
    <sheet name="Ark2" sheetId="19" state="hidden" r:id="rId8"/>
    <sheet name="Data" sheetId="12" state="hidden" r:id="rId9"/>
    <sheet name="Ark9" sheetId="9" state="hidden" r:id="rId10"/>
    <sheet name="Ark8" sheetId="8" state="hidden" r:id="rId11"/>
    <sheet name="Ark7" sheetId="7" state="hidden" r:id="rId12"/>
    <sheet name="Ark3" sheetId="3" state="hidden" r:id="rId13"/>
  </sheets>
  <definedNames>
    <definedName name="_Toc170377437" localSheetId="1">Kontroloversigt!$B$19</definedName>
    <definedName name="_Toc170377441" localSheetId="1">Kontroloversigt!$B$28</definedName>
    <definedName name="_Toc171069704" localSheetId="5">'5. Monitorer og billedkvalitet'!$A$10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W55" i="15" l="1"/>
  <c r="V55" i="15"/>
  <c r="E55" i="15"/>
  <c r="D55" i="15"/>
  <c r="A51" i="15"/>
  <c r="O196" i="15"/>
  <c r="M122" i="15"/>
  <c r="I53" i="16"/>
  <c r="H57" i="16"/>
  <c r="H56" i="16"/>
  <c r="H54" i="16"/>
  <c r="I58" i="16"/>
  <c r="I57" i="16"/>
  <c r="I56" i="16"/>
  <c r="I55" i="16"/>
  <c r="I54" i="16"/>
  <c r="D53" i="16"/>
  <c r="O54" i="16"/>
  <c r="O53" i="16"/>
  <c r="O55" i="16"/>
  <c r="O56" i="16"/>
  <c r="O57" i="16"/>
  <c r="O58" i="16"/>
  <c r="D34" i="14"/>
  <c r="L35" i="14"/>
  <c r="L34" i="14"/>
  <c r="L33" i="14"/>
  <c r="D33" i="14"/>
  <c r="E33" i="14" s="1"/>
  <c r="A232" i="15"/>
  <c r="A179" i="15"/>
  <c r="A109" i="15"/>
  <c r="E34" i="14" l="1"/>
  <c r="F34" i="14" s="1"/>
  <c r="N34" i="14"/>
  <c r="M33" i="14"/>
  <c r="N33" i="14" s="1"/>
  <c r="M35" i="14"/>
  <c r="N35" i="14" s="1"/>
  <c r="M34" i="14"/>
  <c r="F33" i="14"/>
  <c r="AE286" i="15"/>
  <c r="AD286" i="15"/>
  <c r="AC286" i="15"/>
  <c r="AE285" i="15"/>
  <c r="AD285" i="15"/>
  <c r="AC285" i="15"/>
  <c r="AE284" i="15"/>
  <c r="AD284" i="15"/>
  <c r="AC284" i="15"/>
  <c r="AE283" i="15"/>
  <c r="AD283" i="15"/>
  <c r="AC283" i="15"/>
  <c r="AE282" i="15"/>
  <c r="AD282" i="15"/>
  <c r="AC282" i="15"/>
  <c r="AE281" i="15"/>
  <c r="AD281" i="15"/>
  <c r="AC281" i="15"/>
  <c r="AE280" i="15"/>
  <c r="AD280" i="15"/>
  <c r="AC280" i="15"/>
  <c r="AE279" i="15"/>
  <c r="AD279" i="15"/>
  <c r="AC279" i="15"/>
  <c r="AE278" i="15"/>
  <c r="AD278" i="15"/>
  <c r="AC278" i="15"/>
  <c r="AE277" i="15"/>
  <c r="AD277" i="15"/>
  <c r="AC277" i="15"/>
  <c r="AE276" i="15"/>
  <c r="AD276" i="15"/>
  <c r="AC276" i="15"/>
  <c r="AE275" i="15"/>
  <c r="AD275" i="15"/>
  <c r="AC275" i="15"/>
  <c r="AE274" i="15"/>
  <c r="AD274" i="15"/>
  <c r="AC274" i="15"/>
  <c r="AE273" i="15"/>
  <c r="AD273" i="15"/>
  <c r="AC273" i="15"/>
  <c r="AE272" i="15"/>
  <c r="AD272" i="15"/>
  <c r="AC272" i="15"/>
  <c r="AE271" i="15"/>
  <c r="AD271" i="15"/>
  <c r="AC271" i="15"/>
  <c r="AE270" i="15"/>
  <c r="AD270" i="15"/>
  <c r="AC270" i="15"/>
  <c r="AE269" i="15"/>
  <c r="AD269" i="15"/>
  <c r="AC269" i="15"/>
  <c r="AE268" i="15"/>
  <c r="AD268" i="15"/>
  <c r="AC268" i="15"/>
  <c r="AE267" i="15"/>
  <c r="AD267" i="15"/>
  <c r="AC267" i="15"/>
  <c r="AE263" i="15"/>
  <c r="AD263" i="15"/>
  <c r="AC263" i="15"/>
  <c r="AE262" i="15"/>
  <c r="AD262" i="15"/>
  <c r="AC262" i="15"/>
  <c r="AE261" i="15"/>
  <c r="AD261" i="15"/>
  <c r="AC261" i="15"/>
  <c r="AE260" i="15"/>
  <c r="AD260" i="15"/>
  <c r="AC260" i="15"/>
  <c r="AE259" i="15"/>
  <c r="AD259" i="15"/>
  <c r="AC259" i="15"/>
  <c r="AE258" i="15"/>
  <c r="AD258" i="15"/>
  <c r="AC258" i="15"/>
  <c r="AE257" i="15"/>
  <c r="AD257" i="15"/>
  <c r="AC257" i="15"/>
  <c r="AE256" i="15"/>
  <c r="AD256" i="15"/>
  <c r="AC256" i="15"/>
  <c r="AE255" i="15"/>
  <c r="AD255" i="15"/>
  <c r="AC255" i="15"/>
  <c r="AE254" i="15"/>
  <c r="AD254" i="15"/>
  <c r="AC254" i="15"/>
  <c r="AE253" i="15"/>
  <c r="AD253" i="15"/>
  <c r="AC253" i="15"/>
  <c r="AE252" i="15"/>
  <c r="AD252" i="15"/>
  <c r="AC252" i="15"/>
  <c r="AE251" i="15"/>
  <c r="AD251" i="15"/>
  <c r="AC251" i="15"/>
  <c r="AE250" i="15"/>
  <c r="AD250" i="15"/>
  <c r="AC250" i="15"/>
  <c r="AE249" i="15"/>
  <c r="AD249" i="15"/>
  <c r="AC249" i="15"/>
  <c r="AE248" i="15"/>
  <c r="AD248" i="15"/>
  <c r="AC248" i="15"/>
  <c r="AE247" i="15"/>
  <c r="AD247" i="15"/>
  <c r="AC247" i="15"/>
  <c r="AE246" i="15"/>
  <c r="AD246" i="15"/>
  <c r="AC246" i="15"/>
  <c r="AE245" i="15"/>
  <c r="AD245" i="15"/>
  <c r="AC245" i="15"/>
  <c r="AC244" i="15"/>
  <c r="AD244" i="15" s="1"/>
  <c r="AE244" i="15" s="1"/>
  <c r="N286" i="15"/>
  <c r="M286" i="15"/>
  <c r="L286" i="15"/>
  <c r="N285" i="15"/>
  <c r="M285" i="15"/>
  <c r="L285" i="15"/>
  <c r="N284" i="15"/>
  <c r="M284" i="15"/>
  <c r="L284" i="15"/>
  <c r="N283" i="15"/>
  <c r="M283" i="15"/>
  <c r="L283" i="15"/>
  <c r="N282" i="15"/>
  <c r="M282" i="15"/>
  <c r="L282" i="15"/>
  <c r="N281" i="15"/>
  <c r="M281" i="15"/>
  <c r="L281" i="15"/>
  <c r="N280" i="15"/>
  <c r="M280" i="15"/>
  <c r="L280" i="15"/>
  <c r="N279" i="15"/>
  <c r="M279" i="15"/>
  <c r="L279" i="15"/>
  <c r="N278" i="15"/>
  <c r="M278" i="15"/>
  <c r="L278" i="15"/>
  <c r="N277" i="15"/>
  <c r="M277" i="15"/>
  <c r="L277" i="15"/>
  <c r="N276" i="15"/>
  <c r="M276" i="15"/>
  <c r="L276" i="15"/>
  <c r="N275" i="15"/>
  <c r="M275" i="15"/>
  <c r="L275" i="15"/>
  <c r="N274" i="15"/>
  <c r="M274" i="15"/>
  <c r="L274" i="15"/>
  <c r="N273" i="15"/>
  <c r="M273" i="15"/>
  <c r="L273" i="15"/>
  <c r="N272" i="15"/>
  <c r="M272" i="15"/>
  <c r="L272" i="15"/>
  <c r="N271" i="15"/>
  <c r="M271" i="15"/>
  <c r="L271" i="15"/>
  <c r="N270" i="15"/>
  <c r="M270" i="15"/>
  <c r="L270" i="15"/>
  <c r="N269" i="15"/>
  <c r="M269" i="15"/>
  <c r="L269" i="15"/>
  <c r="N268" i="15"/>
  <c r="M268" i="15"/>
  <c r="L268" i="15"/>
  <c r="N263" i="15"/>
  <c r="M263" i="15"/>
  <c r="L263" i="15"/>
  <c r="N262" i="15"/>
  <c r="M262" i="15"/>
  <c r="L262" i="15"/>
  <c r="N261" i="15"/>
  <c r="M261" i="15"/>
  <c r="L261" i="15"/>
  <c r="N260" i="15"/>
  <c r="M260" i="15"/>
  <c r="L260" i="15"/>
  <c r="N259" i="15"/>
  <c r="M259" i="15"/>
  <c r="L259" i="15"/>
  <c r="N258" i="15"/>
  <c r="M258" i="15"/>
  <c r="L258" i="15"/>
  <c r="N257" i="15"/>
  <c r="M257" i="15"/>
  <c r="L257" i="15"/>
  <c r="N256" i="15"/>
  <c r="M256" i="15"/>
  <c r="L256" i="15"/>
  <c r="N255" i="15"/>
  <c r="M255" i="15"/>
  <c r="L255" i="15"/>
  <c r="N254" i="15"/>
  <c r="M254" i="15"/>
  <c r="L254" i="15"/>
  <c r="N253" i="15"/>
  <c r="M253" i="15"/>
  <c r="L253" i="15"/>
  <c r="N252" i="15"/>
  <c r="M252" i="15"/>
  <c r="L252" i="15"/>
  <c r="N251" i="15"/>
  <c r="M251" i="15"/>
  <c r="L251" i="15"/>
  <c r="N250" i="15"/>
  <c r="M250" i="15"/>
  <c r="L250" i="15"/>
  <c r="N249" i="15"/>
  <c r="M249" i="15"/>
  <c r="L249" i="15"/>
  <c r="N248" i="15"/>
  <c r="M248" i="15"/>
  <c r="L248" i="15"/>
  <c r="N247" i="15"/>
  <c r="M247" i="15"/>
  <c r="L247" i="15"/>
  <c r="N246" i="15"/>
  <c r="M246" i="15"/>
  <c r="L246" i="15"/>
  <c r="L267" i="15"/>
  <c r="M267" i="15" s="1"/>
  <c r="N267" i="15" s="1"/>
  <c r="L245" i="15"/>
  <c r="M245" i="15" s="1"/>
  <c r="N245" i="15" s="1"/>
  <c r="L244" i="15"/>
  <c r="P207" i="15"/>
  <c r="O207" i="15"/>
  <c r="P206" i="15"/>
  <c r="O206" i="15"/>
  <c r="P205" i="15"/>
  <c r="O205" i="15"/>
  <c r="AI207" i="15"/>
  <c r="AH207" i="15"/>
  <c r="AI206" i="15"/>
  <c r="AH206" i="15"/>
  <c r="AI205" i="15"/>
  <c r="AH205" i="15"/>
  <c r="AH198" i="15"/>
  <c r="AH197" i="15"/>
  <c r="AH196" i="15"/>
  <c r="O198" i="15"/>
  <c r="O197" i="15"/>
  <c r="L194" i="15"/>
  <c r="M244" i="15" l="1"/>
  <c r="N244" i="15" s="1"/>
  <c r="Q205" i="15"/>
  <c r="Q206" i="15"/>
  <c r="Q207" i="15"/>
  <c r="AH145" i="15"/>
  <c r="AG145" i="15"/>
  <c r="AF145" i="15"/>
  <c r="AE145" i="15"/>
  <c r="AH144" i="15"/>
  <c r="AG144" i="15"/>
  <c r="AF144" i="15"/>
  <c r="AE144" i="15"/>
  <c r="AH143" i="15"/>
  <c r="AG143" i="15"/>
  <c r="AF143" i="15"/>
  <c r="AE143" i="15"/>
  <c r="AH142" i="15"/>
  <c r="AE142" i="15"/>
  <c r="AH141" i="15"/>
  <c r="AG141" i="15"/>
  <c r="AF141" i="15"/>
  <c r="AE141" i="15"/>
  <c r="AH140" i="15"/>
  <c r="AG140" i="15"/>
  <c r="AF140" i="15"/>
  <c r="AE140" i="15"/>
  <c r="AH139" i="15"/>
  <c r="AE139" i="15"/>
  <c r="AH138" i="15"/>
  <c r="AE138" i="15"/>
  <c r="AH137" i="15"/>
  <c r="AE137" i="15"/>
  <c r="AH136" i="15"/>
  <c r="AE136" i="15"/>
  <c r="AE131" i="15"/>
  <c r="AE130" i="15"/>
  <c r="AE129" i="15"/>
  <c r="AE128" i="15"/>
  <c r="AE127" i="15"/>
  <c r="AE126" i="15"/>
  <c r="AE125" i="15"/>
  <c r="AE124" i="15"/>
  <c r="AE123" i="15"/>
  <c r="AE122" i="15"/>
  <c r="P145" i="15"/>
  <c r="O145" i="15"/>
  <c r="N145" i="15"/>
  <c r="M145" i="15"/>
  <c r="P144" i="15"/>
  <c r="O144" i="15"/>
  <c r="N144" i="15"/>
  <c r="M144" i="15"/>
  <c r="P143" i="15"/>
  <c r="O143" i="15"/>
  <c r="N143" i="15"/>
  <c r="M143" i="15"/>
  <c r="P142" i="15"/>
  <c r="O142" i="15"/>
  <c r="N142" i="15"/>
  <c r="M142" i="15"/>
  <c r="P141" i="15"/>
  <c r="M141" i="15"/>
  <c r="P140" i="15"/>
  <c r="M140" i="15"/>
  <c r="P139" i="15"/>
  <c r="M139" i="15"/>
  <c r="P138" i="15"/>
  <c r="M138" i="15"/>
  <c r="P137" i="15"/>
  <c r="M137" i="15"/>
  <c r="P136" i="15"/>
  <c r="N134" i="15"/>
  <c r="M131" i="15"/>
  <c r="M130" i="15"/>
  <c r="M129" i="15"/>
  <c r="M128" i="15"/>
  <c r="M127" i="15"/>
  <c r="M126" i="15"/>
  <c r="M125" i="15"/>
  <c r="M124" i="15"/>
  <c r="M123" i="15"/>
  <c r="Z61" i="15"/>
  <c r="Z60" i="15"/>
  <c r="Z59" i="15"/>
  <c r="H61" i="15"/>
  <c r="H60" i="15"/>
  <c r="H59" i="15"/>
  <c r="D56" i="15"/>
  <c r="H65" i="14"/>
  <c r="G65" i="14"/>
  <c r="B65" i="14"/>
  <c r="B6" i="1"/>
  <c r="Y56" i="15"/>
  <c r="X56" i="15"/>
  <c r="W56" i="15"/>
  <c r="V56" i="15"/>
  <c r="G56" i="15"/>
  <c r="F56" i="15"/>
  <c r="E56" i="15"/>
  <c r="J233" i="16"/>
  <c r="D121" i="12"/>
  <c r="M136" i="15"/>
  <c r="AF265" i="15"/>
  <c r="AB265" i="15"/>
  <c r="X265" i="15"/>
  <c r="AF242" i="15"/>
  <c r="AB242" i="15"/>
  <c r="X242" i="15"/>
  <c r="K242" i="15"/>
  <c r="AG202" i="15"/>
  <c r="AF202" i="15"/>
  <c r="AE202" i="15"/>
  <c r="AB202" i="15"/>
  <c r="AF194" i="15"/>
  <c r="AE194" i="15"/>
  <c r="AB193" i="15"/>
  <c r="AI145" i="15"/>
  <c r="AI144" i="15"/>
  <c r="AI143" i="15"/>
  <c r="AI141" i="15"/>
  <c r="AE134" i="15"/>
  <c r="AD134" i="15"/>
  <c r="AA134" i="15"/>
  <c r="W58" i="15"/>
  <c r="V58" i="15"/>
  <c r="W57" i="15"/>
  <c r="V57" i="15"/>
  <c r="K265" i="15"/>
  <c r="N202" i="15"/>
  <c r="M202" i="15"/>
  <c r="L202" i="15"/>
  <c r="M194" i="15"/>
  <c r="G53" i="16"/>
  <c r="H53" i="16" s="1"/>
  <c r="H265" i="15"/>
  <c r="I202" i="15"/>
  <c r="I193" i="15"/>
  <c r="N120" i="15"/>
  <c r="I134" i="15"/>
  <c r="I120" i="15"/>
  <c r="H242" i="15"/>
  <c r="B50" i="15"/>
  <c r="B49" i="15"/>
  <c r="C103" i="14"/>
  <c r="B103" i="14"/>
  <c r="D67" i="14"/>
  <c r="E67" i="14" s="1"/>
  <c r="C65" i="14"/>
  <c r="C5" i="14" l="1"/>
  <c r="C5" i="13"/>
  <c r="C5" i="15"/>
  <c r="C5" i="16"/>
  <c r="C5" i="17"/>
  <c r="R206" i="15"/>
  <c r="AJ205" i="15"/>
  <c r="AK205" i="15" s="1"/>
  <c r="AJ207" i="15"/>
  <c r="AK207" i="15" s="1"/>
  <c r="AJ206" i="15"/>
  <c r="AK206" i="15" s="1"/>
  <c r="W61" i="15"/>
  <c r="AA61" i="15" s="1"/>
  <c r="W60" i="15"/>
  <c r="AA60" i="15" s="1"/>
  <c r="W59" i="15"/>
  <c r="AA59" i="15" s="1"/>
  <c r="E61" i="15"/>
  <c r="I61" i="15" s="1"/>
  <c r="E60" i="15"/>
  <c r="I60" i="15" s="1"/>
  <c r="E59" i="15"/>
  <c r="I59" i="15" s="1"/>
  <c r="R205" i="15"/>
  <c r="AI140" i="15"/>
  <c r="R207" i="15"/>
  <c r="X251" i="16" l="1"/>
  <c r="X250" i="16"/>
  <c r="X249" i="16"/>
  <c r="Y249" i="16" s="1"/>
  <c r="X248" i="16"/>
  <c r="X247" i="16"/>
  <c r="X246" i="16"/>
  <c r="X245" i="16"/>
  <c r="Y245" i="16" s="1"/>
  <c r="X244" i="16"/>
  <c r="Y244" i="16" s="1"/>
  <c r="X240" i="16"/>
  <c r="X239" i="16"/>
  <c r="X238" i="16"/>
  <c r="X237" i="16"/>
  <c r="X236" i="16"/>
  <c r="X235" i="16"/>
  <c r="Y235" i="16" s="1"/>
  <c r="Z235" i="16" s="1"/>
  <c r="X234" i="16"/>
  <c r="X233" i="16"/>
  <c r="O224" i="16"/>
  <c r="J251" i="16"/>
  <c r="J250" i="16"/>
  <c r="K250" i="16" s="1"/>
  <c r="J249" i="16"/>
  <c r="J248" i="16"/>
  <c r="K248" i="16" s="1"/>
  <c r="J240" i="16"/>
  <c r="J239" i="16"/>
  <c r="J238" i="16"/>
  <c r="J237" i="16"/>
  <c r="J236" i="16"/>
  <c r="P163" i="16"/>
  <c r="A163" i="16"/>
  <c r="I71" i="14"/>
  <c r="I70" i="14"/>
  <c r="I68" i="14"/>
  <c r="I67" i="14"/>
  <c r="AE120" i="15"/>
  <c r="AD120" i="15"/>
  <c r="AA120" i="15"/>
  <c r="M134" i="15"/>
  <c r="L134" i="15"/>
  <c r="M120" i="15"/>
  <c r="L120" i="15"/>
  <c r="K233" i="16"/>
  <c r="J172" i="16" l="1"/>
  <c r="N179" i="16"/>
  <c r="N173" i="16"/>
  <c r="N172" i="16"/>
  <c r="N175" i="16"/>
  <c r="N180" i="16"/>
  <c r="N174" i="16"/>
  <c r="N181" i="16"/>
  <c r="N182" i="16"/>
  <c r="Y237" i="16"/>
  <c r="Z237" i="16"/>
  <c r="Y239" i="16"/>
  <c r="Z239" i="16"/>
  <c r="K240" i="16"/>
  <c r="L240" i="16" s="1"/>
  <c r="K239" i="16"/>
  <c r="L239" i="16" s="1"/>
  <c r="K238" i="16"/>
  <c r="L238" i="16" s="1"/>
  <c r="Y238" i="16"/>
  <c r="Z238" i="16" s="1"/>
  <c r="K236" i="16"/>
  <c r="L236" i="16" s="1"/>
  <c r="K237" i="16"/>
  <c r="L237" i="16"/>
  <c r="Y236" i="16"/>
  <c r="Z236" i="16" s="1"/>
  <c r="AB61" i="15"/>
  <c r="Y182" i="16"/>
  <c r="Z182" i="16" s="1"/>
  <c r="J173" i="16"/>
  <c r="Y248" i="16"/>
  <c r="Z248" i="16" s="1"/>
  <c r="Z245" i="16"/>
  <c r="Z249" i="16"/>
  <c r="Y233" i="16"/>
  <c r="Z233" i="16" s="1"/>
  <c r="Y246" i="16"/>
  <c r="Z246" i="16" s="1"/>
  <c r="Y250" i="16"/>
  <c r="Z250" i="16" s="1"/>
  <c r="Z244" i="16"/>
  <c r="Y240" i="16"/>
  <c r="Z240" i="16" s="1"/>
  <c r="Y247" i="16"/>
  <c r="Z247" i="16" s="1"/>
  <c r="Y251" i="16"/>
  <c r="Z251" i="16" s="1"/>
  <c r="Y234" i="16"/>
  <c r="Z234" i="16" s="1"/>
  <c r="L248" i="16"/>
  <c r="L250" i="16"/>
  <c r="K251" i="16"/>
  <c r="L251" i="16" s="1"/>
  <c r="K249" i="16"/>
  <c r="L249" i="16" s="1"/>
  <c r="Q165" i="16"/>
  <c r="Y173" i="16"/>
  <c r="Z173" i="16" s="1"/>
  <c r="Y172" i="16"/>
  <c r="Z172" i="16" s="1"/>
  <c r="Y174" i="16"/>
  <c r="Z174" i="16" s="1"/>
  <c r="Y175" i="16"/>
  <c r="Z175" i="16" s="1"/>
  <c r="Y179" i="16"/>
  <c r="Z179" i="16" s="1"/>
  <c r="Y180" i="16"/>
  <c r="Z180" i="16" s="1"/>
  <c r="Y181" i="16"/>
  <c r="Z181" i="16" s="1"/>
  <c r="E74" i="13"/>
  <c r="F74" i="13" s="1"/>
  <c r="E73" i="13"/>
  <c r="F73" i="13" s="1"/>
  <c r="E72" i="13"/>
  <c r="F72" i="13" s="1"/>
  <c r="E71" i="13"/>
  <c r="F71" i="13" s="1"/>
  <c r="E70" i="13"/>
  <c r="F70" i="13" s="1"/>
  <c r="L74" i="13"/>
  <c r="M74" i="13" s="1"/>
  <c r="L73" i="13"/>
  <c r="M73" i="13" s="1"/>
  <c r="L72" i="13"/>
  <c r="M72" i="13" s="1"/>
  <c r="L71" i="13"/>
  <c r="M71" i="13" s="1"/>
  <c r="L70" i="13"/>
  <c r="M70" i="13" s="1"/>
  <c r="N74" i="13"/>
  <c r="N73" i="13"/>
  <c r="N72" i="13"/>
  <c r="N71" i="13"/>
  <c r="N70" i="13"/>
  <c r="I38" i="13"/>
  <c r="J38" i="13" s="1"/>
  <c r="I42" i="13"/>
  <c r="J42" i="13" s="1"/>
  <c r="I41" i="13"/>
  <c r="J41" i="13" s="1"/>
  <c r="I40" i="13"/>
  <c r="J40" i="13" s="1"/>
  <c r="I39" i="13"/>
  <c r="J39" i="13" s="1"/>
  <c r="D107" i="14"/>
  <c r="J71" i="14"/>
  <c r="I69" i="14"/>
  <c r="J68" i="14"/>
  <c r="A224" i="16"/>
  <c r="K180" i="15"/>
  <c r="G5" i="1"/>
  <c r="G3" i="1"/>
  <c r="G2" i="1"/>
  <c r="E4" i="1"/>
  <c r="E3" i="1"/>
  <c r="E2" i="1"/>
  <c r="B5" i="1"/>
  <c r="B4" i="1"/>
  <c r="B3" i="1"/>
  <c r="B2" i="1"/>
  <c r="D106" i="14"/>
  <c r="J246" i="16"/>
  <c r="J235" i="16"/>
  <c r="K235" i="16" s="1"/>
  <c r="G71" i="13"/>
  <c r="G72" i="13"/>
  <c r="G73" i="13"/>
  <c r="G74" i="13"/>
  <c r="G70" i="13"/>
  <c r="AF196" i="15" l="1"/>
  <c r="AG196" i="15" s="1"/>
  <c r="AI196" i="15" s="1"/>
  <c r="AF198" i="15"/>
  <c r="AG198" i="15" s="1"/>
  <c r="AI198" i="15" s="1"/>
  <c r="AF197" i="15"/>
  <c r="AG197" i="15" s="1"/>
  <c r="AI197" i="15" s="1"/>
  <c r="M198" i="15"/>
  <c r="N198" i="15" s="1"/>
  <c r="P198" i="15" s="1"/>
  <c r="M197" i="15"/>
  <c r="N197" i="15" s="1"/>
  <c r="P197" i="15" s="1"/>
  <c r="M196" i="15"/>
  <c r="N196" i="15" s="1"/>
  <c r="P196" i="15" s="1"/>
  <c r="AH131" i="15"/>
  <c r="AH128" i="15"/>
  <c r="AH125" i="15"/>
  <c r="AH122" i="15"/>
  <c r="AH126" i="15"/>
  <c r="AH130" i="15"/>
  <c r="AH127" i="15"/>
  <c r="AH124" i="15"/>
  <c r="AH129" i="15"/>
  <c r="AH123" i="15"/>
  <c r="P131" i="15"/>
  <c r="P127" i="15"/>
  <c r="K110" i="15"/>
  <c r="P124" i="15"/>
  <c r="P122" i="15"/>
  <c r="P130" i="15"/>
  <c r="P126" i="15"/>
  <c r="P128" i="15"/>
  <c r="P125" i="15"/>
  <c r="P129" i="15"/>
  <c r="P123" i="15"/>
  <c r="J59" i="15"/>
  <c r="E107" i="14"/>
  <c r="F107" i="14" s="1"/>
  <c r="J70" i="14"/>
  <c r="J67" i="14"/>
  <c r="J69" i="14"/>
  <c r="N170" i="16"/>
  <c r="N169" i="16"/>
  <c r="K172" i="16"/>
  <c r="N171" i="16"/>
  <c r="N176" i="16"/>
  <c r="N177" i="16"/>
  <c r="N178" i="16"/>
  <c r="J174" i="16"/>
  <c r="K174" i="16" s="1"/>
  <c r="J175" i="16"/>
  <c r="K175" i="16" s="1"/>
  <c r="J179" i="16"/>
  <c r="K179" i="16" s="1"/>
  <c r="K173" i="16"/>
  <c r="J180" i="16"/>
  <c r="K180" i="16" s="1"/>
  <c r="J181" i="16"/>
  <c r="K181" i="16" s="1"/>
  <c r="J182" i="16"/>
  <c r="K182" i="16" s="1"/>
  <c r="E106" i="14"/>
  <c r="F106" i="14" s="1"/>
  <c r="L235" i="16"/>
  <c r="K246" i="16"/>
  <c r="L246" i="16" s="1"/>
  <c r="I2" i="2"/>
  <c r="I3" i="17"/>
  <c r="E5" i="1"/>
  <c r="I4" i="13" s="1"/>
  <c r="E6" i="1"/>
  <c r="I5" i="16" s="1"/>
  <c r="N4" i="13"/>
  <c r="G4" i="1"/>
  <c r="N3" i="13" s="1"/>
  <c r="N2" i="13"/>
  <c r="N1" i="13"/>
  <c r="I1" i="13"/>
  <c r="C4" i="13"/>
  <c r="C3" i="13"/>
  <c r="C2" i="13"/>
  <c r="C1" i="13"/>
  <c r="B165" i="16"/>
  <c r="Q145" i="15"/>
  <c r="Q144" i="15"/>
  <c r="Q143" i="15"/>
  <c r="J61" i="15"/>
  <c r="D58" i="15"/>
  <c r="E57" i="15"/>
  <c r="D57" i="15"/>
  <c r="M178" i="16"/>
  <c r="M177" i="16"/>
  <c r="M176" i="16"/>
  <c r="M171" i="16"/>
  <c r="M170" i="16"/>
  <c r="M169" i="16"/>
  <c r="J60" i="15"/>
  <c r="E58" i="15"/>
  <c r="J247" i="16"/>
  <c r="K247" i="16" s="1"/>
  <c r="L247" i="16" s="1"/>
  <c r="J245" i="16"/>
  <c r="K245" i="16" s="1"/>
  <c r="L245" i="16" s="1"/>
  <c r="J244" i="16"/>
  <c r="K244" i="16" s="1"/>
  <c r="J234" i="16"/>
  <c r="K234" i="16" s="1"/>
  <c r="H58" i="16"/>
  <c r="H55" i="16"/>
  <c r="D58" i="16"/>
  <c r="G58" i="16" s="1"/>
  <c r="D57" i="16"/>
  <c r="G57" i="16" s="1"/>
  <c r="D56" i="16"/>
  <c r="G56" i="16" s="1"/>
  <c r="D55" i="16"/>
  <c r="G55" i="16" s="1"/>
  <c r="D54" i="16"/>
  <c r="G54" i="16" s="1"/>
  <c r="D97" i="12"/>
  <c r="AF125" i="15" l="1"/>
  <c r="AG125" i="15" s="1"/>
  <c r="AI125" i="15" s="1"/>
  <c r="AF130" i="15"/>
  <c r="AG130" i="15" s="1"/>
  <c r="AF142" i="15"/>
  <c r="AG142" i="15" s="1"/>
  <c r="AI142" i="15" s="1"/>
  <c r="AF138" i="15"/>
  <c r="AG138" i="15" s="1"/>
  <c r="AI138" i="15" s="1"/>
  <c r="AF131" i="15"/>
  <c r="AG131" i="15" s="1"/>
  <c r="AI131" i="15" s="1"/>
  <c r="AF129" i="15"/>
  <c r="AG129" i="15" s="1"/>
  <c r="AI129" i="15" s="1"/>
  <c r="AF123" i="15"/>
  <c r="AG123" i="15" s="1"/>
  <c r="AI123" i="15" s="1"/>
  <c r="AF126" i="15"/>
  <c r="AG126" i="15" s="1"/>
  <c r="AI126" i="15" s="1"/>
  <c r="AF139" i="15"/>
  <c r="AG139" i="15" s="1"/>
  <c r="AI139" i="15" s="1"/>
  <c r="AF127" i="15"/>
  <c r="AG127" i="15" s="1"/>
  <c r="AI127" i="15" s="1"/>
  <c r="AF124" i="15"/>
  <c r="AG124" i="15" s="1"/>
  <c r="AI124" i="15" s="1"/>
  <c r="AF128" i="15"/>
  <c r="AG128" i="15" s="1"/>
  <c r="AI128" i="15" s="1"/>
  <c r="AF137" i="15"/>
  <c r="AG137" i="15" s="1"/>
  <c r="AI137" i="15" s="1"/>
  <c r="AI130" i="15"/>
  <c r="N129" i="15"/>
  <c r="O129" i="15" s="1"/>
  <c r="N130" i="15"/>
  <c r="O130" i="15" s="1"/>
  <c r="Q130" i="15" s="1"/>
  <c r="N141" i="15"/>
  <c r="O141" i="15" s="1"/>
  <c r="N138" i="15"/>
  <c r="O138" i="15" s="1"/>
  <c r="Q138" i="15" s="1"/>
  <c r="N140" i="15"/>
  <c r="O140" i="15" s="1"/>
  <c r="Q140" i="15" s="1"/>
  <c r="AF136" i="15"/>
  <c r="AG136" i="15" s="1"/>
  <c r="AI136" i="15" s="1"/>
  <c r="N136" i="15"/>
  <c r="O136" i="15" s="1"/>
  <c r="Q136" i="15" s="1"/>
  <c r="N137" i="15"/>
  <c r="O137" i="15" s="1"/>
  <c r="Q137" i="15" s="1"/>
  <c r="AF122" i="15"/>
  <c r="AG122" i="15" s="1"/>
  <c r="AI122" i="15" s="1"/>
  <c r="N139" i="15"/>
  <c r="O139" i="15" s="1"/>
  <c r="Q139" i="15" s="1"/>
  <c r="N126" i="15"/>
  <c r="O126" i="15" s="1"/>
  <c r="Q126" i="15" s="1"/>
  <c r="N125" i="15"/>
  <c r="O125" i="15" s="1"/>
  <c r="N124" i="15"/>
  <c r="O124" i="15" s="1"/>
  <c r="N123" i="15"/>
  <c r="O123" i="15" s="1"/>
  <c r="N122" i="15"/>
  <c r="O122" i="15" s="1"/>
  <c r="Q122" i="15" s="1"/>
  <c r="N128" i="15"/>
  <c r="O128" i="15" s="1"/>
  <c r="N127" i="15"/>
  <c r="O127" i="15" s="1"/>
  <c r="N131" i="15"/>
  <c r="O131" i="15" s="1"/>
  <c r="Q131" i="15" s="1"/>
  <c r="AB59" i="15"/>
  <c r="AB60" i="15"/>
  <c r="I4" i="2"/>
  <c r="I2" i="14"/>
  <c r="I3" i="13"/>
  <c r="I2" i="13"/>
  <c r="J2" i="15"/>
  <c r="J4" i="15"/>
  <c r="I2" i="16"/>
  <c r="I2" i="17"/>
  <c r="O3" i="16"/>
  <c r="O3" i="17"/>
  <c r="I5" i="14"/>
  <c r="I5" i="17"/>
  <c r="I5" i="13"/>
  <c r="J5" i="15"/>
  <c r="I5" i="2"/>
  <c r="I4" i="14"/>
  <c r="I4" i="16"/>
  <c r="I4" i="17"/>
  <c r="I3" i="16"/>
  <c r="I3" i="14"/>
  <c r="I3" i="2"/>
  <c r="J3" i="15"/>
  <c r="L244" i="16"/>
  <c r="L234" i="16"/>
  <c r="L233" i="16"/>
  <c r="J233" i="15"/>
  <c r="Q142" i="15"/>
  <c r="P3" i="15"/>
  <c r="D42" i="13"/>
  <c r="E42" i="13" s="1"/>
  <c r="D41" i="13"/>
  <c r="E41" i="13" s="1"/>
  <c r="D40" i="13"/>
  <c r="E40" i="13" s="1"/>
  <c r="D39" i="13"/>
  <c r="E39" i="13" s="1"/>
  <c r="D38" i="13"/>
  <c r="E38" i="13" s="1"/>
  <c r="D71" i="14"/>
  <c r="E71" i="14" s="1"/>
  <c r="D70" i="14"/>
  <c r="E70" i="14" s="1"/>
  <c r="D69" i="14"/>
  <c r="E69" i="14" s="1"/>
  <c r="D68" i="14"/>
  <c r="E68" i="14" s="1"/>
  <c r="N3" i="14"/>
  <c r="N4" i="14"/>
  <c r="Q128" i="15" l="1"/>
  <c r="Q125" i="15"/>
  <c r="O4" i="16"/>
  <c r="O4" i="17"/>
  <c r="P4" i="15"/>
  <c r="Q129" i="15"/>
  <c r="Q141" i="15"/>
  <c r="Q127" i="15" l="1"/>
  <c r="Q124" i="15"/>
  <c r="Q123" i="15"/>
  <c r="O3" i="2" l="1"/>
  <c r="C4" i="16" l="1"/>
  <c r="C4" i="17"/>
  <c r="C4" i="15"/>
  <c r="C4" i="14"/>
  <c r="O1" i="17"/>
  <c r="O1" i="16"/>
  <c r="N1" i="14"/>
  <c r="P1" i="15"/>
  <c r="O2" i="17"/>
  <c r="O2" i="16"/>
  <c r="N2" i="14"/>
  <c r="P2" i="15"/>
  <c r="C1" i="17"/>
  <c r="C1" i="16"/>
  <c r="C1" i="14"/>
  <c r="C1" i="15"/>
  <c r="C2" i="17"/>
  <c r="C2" i="16"/>
  <c r="C2" i="14"/>
  <c r="C2" i="15"/>
  <c r="C3" i="17"/>
  <c r="C3" i="16"/>
  <c r="C3" i="14"/>
  <c r="C3" i="15"/>
  <c r="I1" i="17"/>
  <c r="I1" i="16"/>
  <c r="I1" i="14"/>
  <c r="J1" i="15"/>
  <c r="C4" i="2"/>
  <c r="O2" i="2"/>
  <c r="C1" i="2"/>
  <c r="O4" i="2"/>
  <c r="C3" i="2"/>
  <c r="I1" i="2"/>
  <c r="C2" i="2"/>
  <c r="O1" i="2"/>
</calcChain>
</file>

<file path=xl/sharedStrings.xml><?xml version="1.0" encoding="utf-8"?>
<sst xmlns="http://schemas.openxmlformats.org/spreadsheetml/2006/main" count="1931" uniqueCount="797">
  <si>
    <t>Generelle data til ark i måleskemaer :</t>
  </si>
  <si>
    <t>Region :</t>
  </si>
  <si>
    <t/>
  </si>
  <si>
    <t>Kontroltype :</t>
  </si>
  <si>
    <t>Firma :</t>
  </si>
  <si>
    <t>Apparat / Model :</t>
  </si>
  <si>
    <t>Dato for kontrol :</t>
  </si>
  <si>
    <t>Serie nr.:</t>
  </si>
  <si>
    <t>Kontrol udført af :</t>
  </si>
  <si>
    <t>Rum nr. :</t>
  </si>
  <si>
    <t>Tech ID :</t>
  </si>
  <si>
    <t>Rapport afsendt :</t>
  </si>
  <si>
    <t>Generelle oplysninger :</t>
  </si>
  <si>
    <t>Udfyld nedenstående felter - relevante data overføres automatisk til data-headeren i alle ark !</t>
  </si>
  <si>
    <t>Region</t>
  </si>
  <si>
    <t xml:space="preserve">Rum nr.  </t>
  </si>
  <si>
    <t xml:space="preserve">Fabrikat  </t>
  </si>
  <si>
    <t xml:space="preserve">Leverandør  </t>
  </si>
  <si>
    <t xml:space="preserve">Apparat / Model  </t>
  </si>
  <si>
    <t xml:space="preserve">Serie nr. </t>
  </si>
  <si>
    <t xml:space="preserve">Installationsdato  </t>
  </si>
  <si>
    <t xml:space="preserve">Kontroltype  </t>
  </si>
  <si>
    <t xml:space="preserve">Dato for kontrol  </t>
  </si>
  <si>
    <t xml:space="preserve">Rapport afsendt  </t>
  </si>
  <si>
    <t xml:space="preserve">Kontrol udført af  </t>
  </si>
  <si>
    <t xml:space="preserve">Telefon nr.  </t>
  </si>
  <si>
    <t xml:space="preserve">Email  </t>
  </si>
  <si>
    <t xml:space="preserve">Software version  </t>
  </si>
  <si>
    <t xml:space="preserve">1. Måleudstyr  </t>
  </si>
  <si>
    <t xml:space="preserve">2. Måleudstyr  </t>
  </si>
  <si>
    <t xml:space="preserve">Måleskema Excel  </t>
  </si>
  <si>
    <t xml:space="preserve">Måleskema version  </t>
  </si>
  <si>
    <t>Ver. 01</t>
  </si>
  <si>
    <t xml:space="preserve">Dato for seneste revision  </t>
  </si>
  <si>
    <t>Kontakt</t>
  </si>
  <si>
    <t>erik.andersen@regionh.dk</t>
  </si>
  <si>
    <t>Farvekode</t>
  </si>
  <si>
    <t>Farven markerer at der kan skrives i cellen. Kun lyse gule celler er åbne for indtastning af data og tekst.</t>
  </si>
  <si>
    <t>Lister - måleværdier</t>
  </si>
  <si>
    <t>Alle celler til valg af kV og anode-filter kombination er listeceller, så valg kan foretages fra drop-down menu</t>
  </si>
  <si>
    <t>Lister - målemetoder m.m.</t>
  </si>
  <si>
    <t>Alle celler til valg af metoder, ja/nej m.m. er listeceller, så valg kan foretages fra drop-down menu</t>
  </si>
  <si>
    <t>Kontroloversigt</t>
  </si>
  <si>
    <t>Bemærkninger :</t>
  </si>
  <si>
    <t>Test mode :</t>
  </si>
  <si>
    <t>Udstyr :</t>
  </si>
  <si>
    <t>Metode:</t>
  </si>
  <si>
    <t>Tolerance :</t>
  </si>
  <si>
    <t>Måling</t>
  </si>
  <si>
    <t>Program</t>
  </si>
  <si>
    <t>kV</t>
  </si>
  <si>
    <t>mA</t>
  </si>
  <si>
    <t>Pulsrate</t>
  </si>
  <si>
    <t>Framerate</t>
  </si>
  <si>
    <t>p/s</t>
  </si>
  <si>
    <t>fr/s</t>
  </si>
  <si>
    <t>mGy/s</t>
  </si>
  <si>
    <t>Afv.</t>
  </si>
  <si>
    <t>%</t>
  </si>
  <si>
    <t>Feltstør.</t>
  </si>
  <si>
    <t>cm</t>
  </si>
  <si>
    <t>Max</t>
  </si>
  <si>
    <t>FLUORO - gennemlysning</t>
  </si>
  <si>
    <t>aflæst</t>
  </si>
  <si>
    <t>korr. RP</t>
  </si>
  <si>
    <t>målt</t>
  </si>
  <si>
    <t>mGy/min</t>
  </si>
  <si>
    <t>Res.</t>
  </si>
  <si>
    <t>mGy</t>
  </si>
  <si>
    <t>mGycm2</t>
  </si>
  <si>
    <t>Rel. Afv.</t>
  </si>
  <si>
    <t>OK</t>
  </si>
  <si>
    <t>Automatik</t>
  </si>
  <si>
    <t>Afdeling :</t>
  </si>
  <si>
    <t>Hospital / Sygehus :</t>
  </si>
  <si>
    <t>Hospital / Sygehus</t>
  </si>
  <si>
    <t>Afdeling</t>
  </si>
  <si>
    <t>Statuskontrol</t>
  </si>
  <si>
    <t xml:space="preserve">Antal </t>
  </si>
  <si>
    <t>skiver</t>
  </si>
  <si>
    <t>ja</t>
  </si>
  <si>
    <t>lavkontrast</t>
  </si>
  <si>
    <t>Lavkontrast</t>
  </si>
  <si>
    <t>Antal</t>
  </si>
  <si>
    <t>højkontrast</t>
  </si>
  <si>
    <t>grupper</t>
  </si>
  <si>
    <t>Højkontrast</t>
  </si>
  <si>
    <t>lp/mm</t>
  </si>
  <si>
    <t>Manuel</t>
  </si>
  <si>
    <t xml:space="preserve">kV </t>
  </si>
  <si>
    <t>Nominel</t>
  </si>
  <si>
    <t xml:space="preserve">Målt </t>
  </si>
  <si>
    <t>Kontrol af blænder</t>
  </si>
  <si>
    <t>Højspændingskabler</t>
  </si>
  <si>
    <t>Håndudløsere</t>
  </si>
  <si>
    <t>Fodkontakter</t>
  </si>
  <si>
    <t>Bemærkninger</t>
  </si>
  <si>
    <t>C-buens bevægelser</t>
  </si>
  <si>
    <t>Bremse (Hjulbremse) på C-bue samt evt. monitorvogn.</t>
  </si>
  <si>
    <t>Bevægelser af arm til monitor samt evt. låse på disse.</t>
  </si>
  <si>
    <t>Gennemlysnings tid</t>
  </si>
  <si>
    <t>nominel</t>
  </si>
  <si>
    <t>Rel afv.</t>
  </si>
  <si>
    <t>Modtage-</t>
  </si>
  <si>
    <t>kontrol</t>
  </si>
  <si>
    <t>Baseline</t>
  </si>
  <si>
    <t>Billed-</t>
  </si>
  <si>
    <t>homogenitet</t>
  </si>
  <si>
    <t>Artefakter</t>
  </si>
  <si>
    <t>ja/nej</t>
  </si>
  <si>
    <t>1 mm Cu plade</t>
  </si>
  <si>
    <t>Monitor</t>
  </si>
  <si>
    <t>Ingen forvrængning af testobjektet på skærmbilledet.</t>
  </si>
  <si>
    <t>Dosis</t>
  </si>
  <si>
    <t>niveau</t>
  </si>
  <si>
    <t>Dosis D</t>
  </si>
  <si>
    <t>Pulsrate [p/s]</t>
  </si>
  <si>
    <t>Feltstørrelse [cm]</t>
  </si>
  <si>
    <t>SID Fokus - detektor afstand [cm]</t>
  </si>
  <si>
    <t>Brug af raster [ja/nej]</t>
  </si>
  <si>
    <t>nej</t>
  </si>
  <si>
    <t>Forvrængning</t>
  </si>
  <si>
    <t>Dato</t>
  </si>
  <si>
    <t>Ionkammer</t>
  </si>
  <si>
    <t>fra baseline</t>
  </si>
  <si>
    <t>PMMA [cm]</t>
  </si>
  <si>
    <t>RP [cm] ( Gennemlysning RP = 30 cm, Mini C bue RP = 5 cm )</t>
  </si>
  <si>
    <t>display</t>
  </si>
  <si>
    <t>≤ 25 %</t>
  </si>
  <si>
    <t>IKKE OK</t>
  </si>
  <si>
    <t>OK / IKKE OK</t>
  </si>
  <si>
    <t>Modtagekontrol</t>
  </si>
  <si>
    <t>Modalitetstype</t>
  </si>
  <si>
    <t>Mini C bue</t>
  </si>
  <si>
    <t>N/A</t>
  </si>
  <si>
    <t>Detektor typer ( SSD halvleder eller ionkammer )</t>
  </si>
  <si>
    <t>KAP meter</t>
  </si>
  <si>
    <t>Sæt X</t>
  </si>
  <si>
    <t xml:space="preserve">2.1 Testparametre </t>
  </si>
  <si>
    <t xml:space="preserve">2.1 Målinger </t>
  </si>
  <si>
    <t xml:space="preserve">2.2 Testparametre </t>
  </si>
  <si>
    <t xml:space="preserve">2.3 Målinger </t>
  </si>
  <si>
    <t xml:space="preserve">3.1 Testparametre </t>
  </si>
  <si>
    <t>Resultat</t>
  </si>
  <si>
    <t>Målt</t>
  </si>
  <si>
    <t>Maks.</t>
  </si>
  <si>
    <t>Testobjekt</t>
  </si>
  <si>
    <t xml:space="preserve">2.2 Målinger </t>
  </si>
  <si>
    <t>Ingen</t>
  </si>
  <si>
    <t xml:space="preserve">2.3 Testparametre </t>
  </si>
  <si>
    <t>Kontrollen udføres uden ydre filtrering.</t>
  </si>
  <si>
    <t xml:space="preserve">2.5 Målinger </t>
  </si>
  <si>
    <t>Gentag målingerne for alle relevante programmer.</t>
  </si>
  <si>
    <t xml:space="preserve">3.2 Testparametre </t>
  </si>
  <si>
    <t>Raster [ ja/nej ]</t>
  </si>
  <si>
    <t xml:space="preserve">4.1 Testparametre </t>
  </si>
  <si>
    <t xml:space="preserve">4.1 Målinger </t>
  </si>
  <si>
    <t xml:space="preserve">4.2 Testparametre </t>
  </si>
  <si>
    <t>Gennemlys med automatik indtil skærmbilledet har stabiliseret sig.</t>
  </si>
  <si>
    <t xml:space="preserve">4.2 Målinger </t>
  </si>
  <si>
    <t xml:space="preserve">4.3 Testparametre </t>
  </si>
  <si>
    <t xml:space="preserve">4.3 Målinger </t>
  </si>
  <si>
    <t>≤ 4,0 %</t>
  </si>
  <si>
    <t>≤ 2,7 %</t>
  </si>
  <si>
    <t>Feltstørrelse FD</t>
  </si>
  <si>
    <t>FD &gt; 30 cm</t>
  </si>
  <si>
    <t>1,0 lp/mm</t>
  </si>
  <si>
    <t>24 cm &lt; FD ≤ 30 cm</t>
  </si>
  <si>
    <t>1,4 lp/mm</t>
  </si>
  <si>
    <t>18 cm &lt; FD ≤ 24 cm</t>
  </si>
  <si>
    <t>1,6 lp/mm</t>
  </si>
  <si>
    <t>15 cm &lt; FD ≤ 18 cm</t>
  </si>
  <si>
    <t>1,8 lp/mm</t>
  </si>
  <si>
    <t>FD ≤ 15 cm</t>
  </si>
  <si>
    <t>2,0 lp/mm</t>
  </si>
  <si>
    <t>Minimum opløsningsevne</t>
  </si>
  <si>
    <t xml:space="preserve">Netkabler </t>
  </si>
  <si>
    <t>Alle kabeludfald samt fiksering af disse.</t>
  </si>
  <si>
    <t>Evt. fastinstalleret leje</t>
  </si>
  <si>
    <t>Transportable C buer  :</t>
  </si>
  <si>
    <t>C-buens bevægelser Fig. 1</t>
  </si>
  <si>
    <t>Endestop, bevægelighed, udbalancering/fiksering.</t>
  </si>
  <si>
    <t>X-akse rotation. (Orbital) samt bremse.</t>
  </si>
  <si>
    <t>Y-akse rotation. sidevejs på undervogn, typisk 5-20 grader, Afprøves til yderkanter samt bremse.</t>
  </si>
  <si>
    <t>Z-akse rotation (Propella) samt bremse.</t>
  </si>
  <si>
    <t>Undervogns bevægelser Fig. 2</t>
  </si>
  <si>
    <t>Frem og tilbage "glider på undervogn". Afprøves til yderkanter samt bremse.</t>
  </si>
  <si>
    <t>Y Vertikal /Elektrisk op og ned. Skal køre jævnt uden mislyde. Afprøves til yderkanter.</t>
  </si>
  <si>
    <t>Z Køre frem og tilbage.</t>
  </si>
  <si>
    <t>X Køre sidelæns</t>
  </si>
  <si>
    <t>Fastspænding af alle dele.</t>
  </si>
  <si>
    <t>Nødstop skal fungere efter hensigten</t>
  </si>
  <si>
    <t>Fastinstalleret C buer  :</t>
  </si>
  <si>
    <t>Y-akse rotation, ved gulv eller loft ophæng.</t>
  </si>
  <si>
    <t>Monitorer</t>
  </si>
  <si>
    <t>Ud-balancering.</t>
  </si>
  <si>
    <t>Leje</t>
  </si>
  <si>
    <t>Bremse. Flydefunktion.</t>
  </si>
  <si>
    <t xml:space="preserve">Vertikal og horisontal bevægelse. og evt. kip. Elektrisk op og ned. Skal køre jævnt uden mislyde. </t>
  </si>
  <si>
    <r>
      <rPr>
        <b/>
        <sz val="10"/>
        <color theme="1"/>
        <rFont val="Verdana"/>
        <family val="2"/>
      </rPr>
      <t>Nødstop</t>
    </r>
    <r>
      <rPr>
        <sz val="10"/>
        <color theme="1"/>
        <rFont val="Verdana"/>
        <family val="2"/>
      </rPr>
      <t xml:space="preserve"> skal fungere efter hensigten</t>
    </r>
  </si>
  <si>
    <t>Røntgen ON</t>
  </si>
  <si>
    <t>MANGLER</t>
  </si>
  <si>
    <t>AFVENTER</t>
  </si>
  <si>
    <t>MFE</t>
  </si>
  <si>
    <t xml:space="preserve">2.4 Testparametre </t>
  </si>
  <si>
    <t>SSD detektor</t>
  </si>
  <si>
    <t>Detektor typer ( SSD detektor eller ionkammer )</t>
  </si>
  <si>
    <t>2.4 Eksponeringsindikator og alarm</t>
  </si>
  <si>
    <t>2. Kontrol af mekaniske og geometriske parametre</t>
  </si>
  <si>
    <t>2.2 Feltstørrelser</t>
  </si>
  <si>
    <t>3. Kontrol af røntgenrør og generator</t>
  </si>
  <si>
    <t>3.1 Højspænding (kVp)</t>
  </si>
  <si>
    <t>5. Kontrol af billedkvalitet</t>
  </si>
  <si>
    <t>5.2 Billedhomogenitet og artefakter</t>
  </si>
  <si>
    <t>6. Eftersyn</t>
  </si>
  <si>
    <t>6.1 Eftersyn af ledninger, stikpropper, aflastninger og isolation</t>
  </si>
  <si>
    <t>6.2 Eftersyn og afprøvning af mekaniske dele</t>
  </si>
  <si>
    <t>2.1 Source Image Distance (SID)</t>
  </si>
  <si>
    <t>Målebånd</t>
  </si>
  <si>
    <t>Afvigelse mellem nominel SID og målt SID skal være ≤ 1,5%</t>
  </si>
  <si>
    <t>NB:</t>
  </si>
  <si>
    <t>Fast SID</t>
  </si>
  <si>
    <t>Variabel SID</t>
  </si>
  <si>
    <t>SID</t>
  </si>
  <si>
    <t>Cirkulære felter:</t>
  </si>
  <si>
    <t>Ved gennemlysning bestemmes strålefeltets størrelse som cirkelfeltets diameter.</t>
  </si>
  <si>
    <t>Ved gennemlysning bestemmes strålefeltets størrelse som kantlængden af strålingsfeltets længste kant eller diagonal.</t>
  </si>
  <si>
    <t>Afvigelse mellem nominel feltstørrelse og målt feltstørrelse bør være ≤ 2% af SID</t>
  </si>
  <si>
    <t>SID [cm]</t>
  </si>
  <si>
    <t>Afv. rel.</t>
  </si>
  <si>
    <t>cirkulær</t>
  </si>
  <si>
    <t>2.4. Eksponeringsindikator og alarm</t>
  </si>
  <si>
    <t xml:space="preserve">2.4 Målinger </t>
  </si>
  <si>
    <t>Kontrol af indikator og alarm</t>
  </si>
  <si>
    <t>B. Hørbar alarm efter 5 min.</t>
  </si>
  <si>
    <t>3.1. Højspænding (kVp)</t>
  </si>
  <si>
    <t>Ved mulighed for manuel indstilling af kVp:</t>
  </si>
  <si>
    <t>Hvor manuel indstilling af kVp ikke er muligt:</t>
  </si>
  <si>
    <t>Afdæk billeddetektoren så kVp justerer til klinisk relevant område, gennemlys og aflæs kV-meteret.</t>
  </si>
  <si>
    <t>3.1 Målinger :</t>
  </si>
  <si>
    <t>Metode [ manuel kV / auto kV ]</t>
  </si>
  <si>
    <t>manuel kV</t>
  </si>
  <si>
    <t>auto kV</t>
  </si>
  <si>
    <t>Manuel kV / auto kV</t>
  </si>
  <si>
    <t>HVL</t>
  </si>
  <si>
    <t>mm Al</t>
  </si>
  <si>
    <t xml:space="preserve">TF </t>
  </si>
  <si>
    <t>Hvis totalfiltreringen TF bestemmes vhj.a. AL-filtre følges proceduren i EFOMP Protokol.</t>
  </si>
  <si>
    <t>3.2 Målinger :</t>
  </si>
  <si>
    <t>Pulsrate [ p/s ]</t>
  </si>
  <si>
    <t>Areal [cm2]</t>
  </si>
  <si>
    <t>≤ 35 %</t>
  </si>
  <si>
    <t>RF DI 1</t>
  </si>
  <si>
    <t>RF DI 2</t>
  </si>
  <si>
    <t>Nomimel</t>
  </si>
  <si>
    <t>korr. til RPDI</t>
  </si>
  <si>
    <t>C bue</t>
  </si>
  <si>
    <t xml:space="preserve">Lodret </t>
  </si>
  <si>
    <t>Vandret</t>
  </si>
  <si>
    <t>Projektion ved måling ( Lodret / Vandret )</t>
  </si>
  <si>
    <t>Intervention</t>
  </si>
  <si>
    <t>korr. BSF</t>
  </si>
  <si>
    <t>Undersøgelses</t>
  </si>
  <si>
    <t>type</t>
  </si>
  <si>
    <t>Barium us</t>
  </si>
  <si>
    <t>Hjerte</t>
  </si>
  <si>
    <t>Tolerance</t>
  </si>
  <si>
    <t>≤ mGy/min</t>
  </si>
  <si>
    <t>≤ mGy/frame</t>
  </si>
  <si>
    <t>Angio/DSA</t>
  </si>
  <si>
    <t>max.</t>
  </si>
  <si>
    <t>Max.</t>
  </si>
  <si>
    <t>min.</t>
  </si>
  <si>
    <t>korr. BSF &amp; RP</t>
  </si>
  <si>
    <t>Dosimeteret placeres direkte på detektoren så den automatiske dosishastighedsregulering ikke påvirkes.</t>
  </si>
  <si>
    <t>Modtagekontrollens målinger angiver referenceværdier for kommende kontroller.</t>
  </si>
  <si>
    <t>Leje i strålegang ( ja / nej )</t>
  </si>
  <si>
    <t>Inkl. raster ( ja / nej )</t>
  </si>
  <si>
    <t xml:space="preserve">5.1 Testparametre </t>
  </si>
  <si>
    <t xml:space="preserve">5.1 Målinger </t>
  </si>
  <si>
    <t xml:space="preserve">5.2 Testparametre </t>
  </si>
  <si>
    <t xml:space="preserve">5.2 Målinger </t>
  </si>
  <si>
    <t xml:space="preserve">5.3 Testparametre </t>
  </si>
  <si>
    <t xml:space="preserve">5.3 Målinger </t>
  </si>
  <si>
    <t xml:space="preserve">5.4 Testparametre </t>
  </si>
  <si>
    <t xml:space="preserve">5.5 Testparametre </t>
  </si>
  <si>
    <t>Anbring testfantomet med cirkelobjekt direkte på billedforstærkeren.</t>
  </si>
  <si>
    <t xml:space="preserve">5.6 Testparametre </t>
  </si>
  <si>
    <t>Vælg mest anvendte kliniske gennemlysningsprogram.</t>
  </si>
  <si>
    <t>Loftshængte monitorer og monitorvogne må ikke have en ringere billedkvalitet end monitor på gennemlysningsapparatet.</t>
  </si>
  <si>
    <t>Højkontrastopløsning ved gennemlysning:</t>
  </si>
  <si>
    <t>FLUORO - Program</t>
  </si>
  <si>
    <t>CINE - Program</t>
  </si>
  <si>
    <t>Visuel</t>
  </si>
  <si>
    <t>Dicom-fil</t>
  </si>
  <si>
    <t>vedlagt</t>
  </si>
  <si>
    <t>Kontrast</t>
  </si>
  <si>
    <t>synlig</t>
  </si>
  <si>
    <t>Raster [ja/nej]</t>
  </si>
  <si>
    <t>minimum</t>
  </si>
  <si>
    <t>6.1. Eftersyn af ledninger, stikpropper, aflastninger og isolation</t>
  </si>
  <si>
    <t>6 Målinger :</t>
  </si>
  <si>
    <t>6.2. Eftersyn og afprøvning af mekaniske dele</t>
  </si>
  <si>
    <t>A. Aktivering af eksponeringsindikator</t>
  </si>
  <si>
    <t>mGy/frame</t>
  </si>
  <si>
    <t>frame/s</t>
  </si>
  <si>
    <t>Frame rate</t>
  </si>
  <si>
    <t>Dose rate</t>
  </si>
  <si>
    <t>dose rate</t>
  </si>
  <si>
    <t>visuel</t>
  </si>
  <si>
    <t>0/5 - 95/100</t>
  </si>
  <si>
    <t xml:space="preserve">5.5 Målinger </t>
  </si>
  <si>
    <t>QUART 18 FL</t>
  </si>
  <si>
    <t>Testfantom</t>
  </si>
  <si>
    <t xml:space="preserve">Leeds TOR </t>
  </si>
  <si>
    <t>18 FG</t>
  </si>
  <si>
    <t xml:space="preserve">QUART </t>
  </si>
  <si>
    <t xml:space="preserve">FL 18 </t>
  </si>
  <si>
    <t>n/a</t>
  </si>
  <si>
    <t>Kontrol af</t>
  </si>
  <si>
    <t>fuld blænde</t>
  </si>
  <si>
    <t>kileblænder</t>
  </si>
  <si>
    <t>LEEDS FG 18</t>
  </si>
  <si>
    <t>PEHAMED</t>
  </si>
  <si>
    <t>2.3 Blænde og blændefunktion</t>
  </si>
  <si>
    <t>5.3. Lysstyrke- og kontrastindstillinger på monitorer</t>
  </si>
  <si>
    <t>6.3. Eftersyn af kontrollamper og displays</t>
  </si>
  <si>
    <t>4. Kontrol af indikatorer for dosis og dosishastighed</t>
  </si>
  <si>
    <t>4.4 Testparametre</t>
  </si>
  <si>
    <t>4.4 Målinger</t>
  </si>
  <si>
    <t>4.5  Overførsel af dosisværdier</t>
  </si>
  <si>
    <t>4.5 Testparametre</t>
  </si>
  <si>
    <t>4.5 Målinger</t>
  </si>
  <si>
    <t>5.3  Lysstyrke- og kontrastindstillinger på monitorer</t>
  </si>
  <si>
    <t>Intet</t>
  </si>
  <si>
    <t>Apparaturet sættes op til overførsel til PACS.</t>
  </si>
  <si>
    <t>En testundersøgelse overføres.</t>
  </si>
  <si>
    <t>KAP-værdi kommer over med korrekt enhed</t>
  </si>
  <si>
    <t>PACS</t>
  </si>
  <si>
    <t>Overførsel af data til PACS med korrekt KAP enhed ved testundersøgelse</t>
  </si>
  <si>
    <t>Overførsel</t>
  </si>
  <si>
    <t>Test udført</t>
  </si>
  <si>
    <t>og godkendt</t>
  </si>
  <si>
    <t>Desuden anbefales det, at indstillet minimumslystæthed, Lmin, kalibreres til en værdi på minimum 0,5 cd/m2, gerne omkring 1 cd/m2 hvis det er muligt</t>
  </si>
  <si>
    <t xml:space="preserve">Mål lystætheden i det sorte (minimum lystæthed) og det hvide (maksimal lystæthed) felt på testbillederne </t>
  </si>
  <si>
    <t xml:space="preserve">Ved statuskontrol: Billedet vurderes visuelt. Ved tvivl, om billedet kan accepteres som homogent eller ikke, anvendes metode for modtagekontrol </t>
  </si>
  <si>
    <t>Rd</t>
  </si>
  <si>
    <t>Lamb</t>
  </si>
  <si>
    <t>Lmin</t>
  </si>
  <si>
    <t>Lmaks</t>
  </si>
  <si>
    <t>L`maks / L´min</t>
  </si>
  <si>
    <t>L</t>
  </si>
  <si>
    <t>center</t>
  </si>
  <si>
    <t>hjørne 1</t>
  </si>
  <si>
    <t>hjørne 2</t>
  </si>
  <si>
    <t>hjørne 3</t>
  </si>
  <si>
    <t>hjørne 4</t>
  </si>
  <si>
    <t>Homogenitet</t>
  </si>
  <si>
    <t>Luminansmåler ( Near range / Teleskopisk )</t>
  </si>
  <si>
    <t>Near range</t>
  </si>
  <si>
    <t>Teleskopisk</t>
  </si>
  <si>
    <t>cd/m2</t>
  </si>
  <si>
    <t>målt hvid</t>
  </si>
  <si>
    <t>målt sort</t>
  </si>
  <si>
    <t>Kontrastforhold</t>
  </si>
  <si>
    <t>Belysningsstyrke ( Lux ) [ default = 100 ]</t>
  </si>
  <si>
    <t>Kontrollen udføres på én monitor.</t>
  </si>
  <si>
    <t>Vælg feltstørrelse på ca. 25 cm.</t>
  </si>
  <si>
    <t>Følg fantomets specifikationer for brug af ydre filtrering ved gennemlysningen.</t>
  </si>
  <si>
    <t>Fantomet placeres direkte på billeddetektoren.</t>
  </si>
  <si>
    <t>Testfantom med cirkelobjekt.</t>
  </si>
  <si>
    <t>Udføres kun på én monitor.</t>
  </si>
  <si>
    <t>Cine-optagelse/eksponering:</t>
  </si>
  <si>
    <t>Billeder fra vurdering af lavkontrastfølsomhed vedlægges kontrollen som en ukomprimeret DICOM-fil.</t>
  </si>
  <si>
    <t>Kontrollen udføres for alle monitorer.</t>
  </si>
  <si>
    <t>Ydre filtrering: Ingen.</t>
  </si>
  <si>
    <t>Hvis en monitorvogn kan anvendes med flere C-buer uanset fabrikat og model, anses kontrollen som udført, hvis den er udført med én C-bue.</t>
  </si>
  <si>
    <t>QUART FL 18</t>
  </si>
  <si>
    <t>PEHAMED D</t>
  </si>
  <si>
    <t>Pehamed</t>
  </si>
  <si>
    <t>Fluoro D</t>
  </si>
  <si>
    <t>Fluoro</t>
  </si>
  <si>
    <t>målt/beregnet</t>
  </si>
  <si>
    <t>ESAKR</t>
  </si>
  <si>
    <t>setting</t>
  </si>
  <si>
    <t>IAKR</t>
  </si>
  <si>
    <t>Logisk navn</t>
  </si>
  <si>
    <t>af program</t>
  </si>
  <si>
    <t>5.1 Kontrol af monitorer</t>
  </si>
  <si>
    <t>Test fantom - vælg fra liste</t>
  </si>
  <si>
    <t xml:space="preserve">5.4 Målinger </t>
  </si>
  <si>
    <t>5.6 Forvrængning af monitorbillede (kun for billedforstærker)</t>
  </si>
  <si>
    <t>5.6 Målinger</t>
  </si>
  <si>
    <t>2.5 Raster</t>
  </si>
  <si>
    <t>Feltstørrelse [ cm ]</t>
  </si>
  <si>
    <t>Strålefelt</t>
  </si>
  <si>
    <t xml:space="preserve">2.5 Raster </t>
  </si>
  <si>
    <t>Filtrering [mm Cu]</t>
  </si>
  <si>
    <t>Modalitetstype :</t>
  </si>
  <si>
    <t>Røntgen</t>
  </si>
  <si>
    <t>GE</t>
  </si>
  <si>
    <t>Fluorostar</t>
  </si>
  <si>
    <t>GE2</t>
  </si>
  <si>
    <t>EHA</t>
  </si>
  <si>
    <t>Raysafe</t>
  </si>
  <si>
    <t>unfors</t>
  </si>
  <si>
    <t xml:space="preserve">2.5 Testparametre </t>
  </si>
  <si>
    <t>Testbillede lys</t>
  </si>
  <si>
    <t>Testbillede mørk</t>
  </si>
  <si>
    <t>Rasteret skal kunne fjernes ved pædiatrisk brug for apparater installeret efter 2013.</t>
  </si>
  <si>
    <t>Kontrol af raster</t>
  </si>
  <si>
    <t>Kan raster fjernes uden brug af værktøj ?</t>
  </si>
  <si>
    <t>ja / nej</t>
  </si>
  <si>
    <t>Krav</t>
  </si>
  <si>
    <t>min. HVL</t>
  </si>
  <si>
    <t>3.2. Halvværdilag og totalfiltrering</t>
  </si>
  <si>
    <t xml:space="preserve">Dosimeter med samtidig angivelse af HVL og totalfiltrering. Alternativt tynde aluminiumsplader. </t>
  </si>
  <si>
    <r>
      <t xml:space="preserve">TF </t>
    </r>
    <r>
      <rPr>
        <sz val="11"/>
        <color theme="1"/>
        <rFont val="Calibri"/>
        <family val="2"/>
      </rPr>
      <t>≥ 2,5 mm Al</t>
    </r>
  </si>
  <si>
    <t>Projektion ved måling [ Lodret / Vandret }</t>
  </si>
  <si>
    <t>Projektion ved måling [ Lodret / Vandret ]</t>
  </si>
  <si>
    <t>Værdi af DI indikator synlig på apparat [ ja/nej ]</t>
  </si>
  <si>
    <t>ΔDI = D2 - D1</t>
  </si>
  <si>
    <t>Enhed for DI indikator på apparat</t>
  </si>
  <si>
    <t>dGycm2</t>
  </si>
  <si>
    <t>cGycm2</t>
  </si>
  <si>
    <t>Gycm2</t>
  </si>
  <si>
    <r>
      <rPr>
        <sz val="11"/>
        <color theme="1"/>
        <rFont val="Calibri"/>
        <family val="2"/>
      </rPr>
      <t>µ</t>
    </r>
    <r>
      <rPr>
        <sz val="11"/>
        <color theme="1"/>
        <rFont val="Calibri"/>
        <family val="2"/>
        <scheme val="minor"/>
      </rPr>
      <t>Gym2</t>
    </r>
  </si>
  <si>
    <t>dGy</t>
  </si>
  <si>
    <t>cGy</t>
  </si>
  <si>
    <r>
      <rPr>
        <sz val="11"/>
        <color theme="1"/>
        <rFont val="Calibri"/>
        <family val="2"/>
      </rPr>
      <t>µ</t>
    </r>
    <r>
      <rPr>
        <sz val="11"/>
        <color theme="1"/>
        <rFont val="Calibri"/>
        <family val="2"/>
        <scheme val="minor"/>
      </rPr>
      <t>Gy</t>
    </r>
  </si>
  <si>
    <t>Enhed for dosishastigheds indikator på apparat</t>
  </si>
  <si>
    <t>dGy/s</t>
  </si>
  <si>
    <t>cGy/s</t>
  </si>
  <si>
    <r>
      <rPr>
        <sz val="11"/>
        <color theme="1"/>
        <rFont val="Calibri"/>
        <family val="2"/>
      </rPr>
      <t>µ</t>
    </r>
    <r>
      <rPr>
        <sz val="11"/>
        <color theme="1"/>
        <rFont val="Calibri"/>
        <family val="2"/>
        <scheme val="minor"/>
      </rPr>
      <t>Gy/s</t>
    </r>
  </si>
  <si>
    <t>µGy/s</t>
  </si>
  <si>
    <t>Raster</t>
  </si>
  <si>
    <t>Højdosis /</t>
  </si>
  <si>
    <t>Boost</t>
  </si>
  <si>
    <t>indstilling</t>
  </si>
  <si>
    <t>DMS</t>
  </si>
  <si>
    <t xml:space="preserve">Kontrast &gt; 250 </t>
  </si>
  <si>
    <t xml:space="preserve">Lmaks &gt; 350 </t>
  </si>
  <si>
    <t>Testbillede til hvid ( f.eks. TG 18 testbillede )</t>
  </si>
  <si>
    <t>Testbillede til sort ( f.eks. TG 18 testbillede )</t>
  </si>
  <si>
    <t>Testbillede ( f.eks. TG 18 testbillede )</t>
  </si>
  <si>
    <t>Evt. bemærkninger til kontrol af artefakter og billedhomogenitet angives i bemærkningfeltet ovenfor !</t>
  </si>
  <si>
    <t>&lt; 30 %</t>
  </si>
  <si>
    <t>5.4 Lavkontrastfølsomhed</t>
  </si>
  <si>
    <t>5.5 Højkontrastopløsning</t>
  </si>
  <si>
    <t>Ydre filtrering [mm Cu]</t>
  </si>
  <si>
    <t>Ydre filtering [mm Cu]</t>
  </si>
  <si>
    <t>Ydre filtrering: Følg testfantomets specifikationer.</t>
  </si>
  <si>
    <t>OK - Farven markerer resultatet af en måling eller udregning  - eller at resultatet er inden for tolerancen</t>
  </si>
  <si>
    <t>IKKE OK - Farven markerer at resultatet er uden for tolerancen</t>
  </si>
  <si>
    <t>Kontakt MFE - Farven markerer at resultatet af målingen skal drøftes med den medicinsk-fysiske ekspert</t>
  </si>
  <si>
    <t xml:space="preserve">Leverandør ID  </t>
  </si>
  <si>
    <t>Detektortype</t>
  </si>
  <si>
    <t>FPD Flat Panel Detektor</t>
  </si>
  <si>
    <t>BF Billed Forstærker</t>
  </si>
  <si>
    <t xml:space="preserve">Dato for seneste kontrol  </t>
  </si>
  <si>
    <t>Leverandør ID :</t>
  </si>
  <si>
    <t>Leverandør :</t>
  </si>
  <si>
    <t>1</t>
  </si>
  <si>
    <t>3.2 Halvværdilag og totalfiltrering</t>
  </si>
  <si>
    <t xml:space="preserve">4.5 Overførsel af dosisværdier	</t>
  </si>
  <si>
    <t>Yderligere afdækning af billeddetektor [ blyforklæde / stålplade / PMMA ]</t>
  </si>
  <si>
    <t>Dato :</t>
  </si>
  <si>
    <t>rektangulær</t>
  </si>
  <si>
    <t>Testobjekt [ rektangulær / cirkulær ]</t>
  </si>
  <si>
    <t>Felttype [ cirkulær / rektangulær ]</t>
  </si>
  <si>
    <t>OK / MFE</t>
  </si>
  <si>
    <t>Kun modtagekontrol</t>
  </si>
  <si>
    <t>Felt [ rektangulært / cirkulært ]</t>
  </si>
  <si>
    <t>Felt ( rektangulært / cirkulært )</t>
  </si>
  <si>
    <t>Projektion</t>
  </si>
  <si>
    <t>Vertikal</t>
  </si>
  <si>
    <t>Horizontal</t>
  </si>
  <si>
    <t>Bi-plan</t>
  </si>
  <si>
    <t>Bi-plan projektion</t>
  </si>
  <si>
    <t>Bi-plan rør A</t>
  </si>
  <si>
    <t>Bi-plan rør B</t>
  </si>
  <si>
    <t>Afvigelse</t>
  </si>
  <si>
    <t>fra</t>
  </si>
  <si>
    <t>Årligt eftersyn</t>
  </si>
  <si>
    <t xml:space="preserve">Gennemlysningsenhed </t>
  </si>
  <si>
    <t>A. Advarselslyd ved højdosis-/ boostindstilling</t>
  </si>
  <si>
    <r>
      <t xml:space="preserve">Testobjekt med kendte mål </t>
    </r>
    <r>
      <rPr>
        <sz val="11"/>
        <color theme="1"/>
        <rFont val="Calibri"/>
        <family val="2"/>
        <scheme val="minor"/>
      </rPr>
      <t>og evt røntgenfast lineal</t>
    </r>
  </si>
  <si>
    <t>Hvis apparatet har en højdosis-/ boostindstilling, kontrolleres at advarselslyd aktiveres under gennemlysning, når denne er valgt.</t>
  </si>
  <si>
    <t>Overførsel af  data til DMS med korrekt KAP-enhed</t>
  </si>
  <si>
    <t>R/F system</t>
  </si>
  <si>
    <t>µGy</t>
  </si>
  <si>
    <t>Enheder</t>
  </si>
  <si>
    <t>KAP</t>
  </si>
  <si>
    <t>µGym2</t>
  </si>
  <si>
    <t xml:space="preserve">KAP </t>
  </si>
  <si>
    <t>Enhed for aflæst dosis på dosimeter</t>
  </si>
  <si>
    <t>Enhed for aflæst dosishastighed på dosimeter</t>
  </si>
  <si>
    <t>dosishast</t>
  </si>
  <si>
    <t>Bi-plan rør A   Vertikal</t>
  </si>
  <si>
    <t>Bi-plan rør B   Horizontal</t>
  </si>
  <si>
    <t>Gennemlys: Justér dernæst de virtuelle blænder på skærmbilledet til testobjektets kontur.</t>
  </si>
  <si>
    <t>Hvis gennemlysningsapparaturet har kileblænder, kontrolleres funktionaliteten af disse</t>
  </si>
  <si>
    <t>blænder eller et cirkulært testfantom ved irisblænde).</t>
  </si>
  <si>
    <t xml:space="preserve">Under gennemlysning bestemmes afvigelsen mellem blændekant og strålingsfelt ved f.eks. at måle/vurdere afvigelsen mellem </t>
  </si>
  <si>
    <t>strålefeltets og testfantomets dimensioner.</t>
  </si>
  <si>
    <t>ikke længere ses på billedet.</t>
  </si>
  <si>
    <t>Overensstemmelsen mellem blænder og strålingsfelt vurderes og bør være ≤ 2% af SID.</t>
  </si>
  <si>
    <t>5 minutters samlet effektiv gennemlysningstid.</t>
  </si>
  <si>
    <t>udførelsen af de efterfølgende kontrolpunkter og det derfor er nødvendigt at gennemlyse yderligere for at gennemføre denne kontrol.</t>
  </si>
  <si>
    <t>Totalfiltreringen bestemmes ud fra HVL.</t>
  </si>
  <si>
    <t>4. Kontrol af dosis og dosishastighed</t>
  </si>
  <si>
    <t>Anbring et testobjekt med veldefineret areal direkte på billeddetektoren (f.eks. en Cu-plade eller et testfantom).</t>
  </si>
  <si>
    <t>Dosimeteret anbringes centralt i strålefeltet oven på testfantomet.</t>
  </si>
  <si>
    <t>Notér reference-KAP-metrets målte KAP-værdi efter endt gennemlysning.</t>
  </si>
  <si>
    <t xml:space="preserve">Relativ afvigelse mellem nominel ΔDI – værdi og målt DI-værdi bør være ≤ 35 % </t>
  </si>
  <si>
    <t>Værdi af dosishastighedsindikator i RP synlig på apparat [ ja/nej ]</t>
  </si>
  <si>
    <t>4.2 Indgangsdosishastighed til PMMA</t>
  </si>
  <si>
    <t>Hvis muligt udføres kontrollen uden leje i strålegangen og ved minimum SID. For multifunktionsapparatur anvendes en SID på 1 meter.</t>
  </si>
  <si>
    <t>Måleopstillinger</t>
  </si>
  <si>
    <t xml:space="preserve">Lodret strålegang (fig. 1): </t>
  </si>
  <si>
    <t>Vandret strålegang (fig. 2):</t>
  </si>
  <si>
    <t xml:space="preserve">Mini C-buer (fig. 3): </t>
  </si>
  <si>
    <t>Samme fremgangsmåde som fig. 1 for lodret strålegang, dog med 5 cm PMMA.</t>
  </si>
  <si>
    <t>Figur 1. Lodret strålegang.</t>
  </si>
  <si>
    <t>Figur 2. Vandret strålegang</t>
  </si>
  <si>
    <t>Figur 3. Mini C-buer.</t>
  </si>
  <si>
    <t xml:space="preserve">PMMA-plader og beskyttende materiale (f.eks. blygummiforklæder) placeres foran detektoren indtil dosishastigheden er maksimal ved brug af automatisk </t>
  </si>
  <si>
    <t>dosishastighedsregulering, dvs. at dosishastigheden ikke øges hvis yderligere beskyttende materiale tilføjes.</t>
  </si>
  <si>
    <t>ved brug af halvlederdetektor.</t>
  </si>
  <si>
    <t>4.4 Indgangsdosishastighed til billeddetektor</t>
  </si>
  <si>
    <t>Under gennemlysning noteres aflæst kV, mA og dosishastighed på dosimeteret.</t>
  </si>
  <si>
    <t>Apparaturet sættes op til overførsel af RDSR til dosismonitoreringssystem (evt. via PACS)</t>
  </si>
  <si>
    <t>Testbilleder til kontrol af kontrastforhold: SMPTE-133, TG18-LN12-1 og TG18-LN12-18 eller tilsvarende. Testbilledet skal indeholde helt sort og helt hvidt.</t>
  </si>
  <si>
    <t>Testbillede til kontrol af homogenitet: TG18-UN80 eller tilsvarende.</t>
  </si>
  <si>
    <t>Testbilleder til kontrol af artefakter: TG18-UN10 og TG18-UN80, eller tilsvarende.</t>
  </si>
  <si>
    <t>Luminansmåler.</t>
  </si>
  <si>
    <t>For hver monitor gøres følgende i de områder af skærmen, hvor røntgenbilledet bliver vist:</t>
  </si>
  <si>
    <t>hvor det af afdelingens/klinikkens KAS-læger/specialeansvarlige vurderes, at man opnår de bedste kliniske resultater med en anden LUT-kurve.</t>
  </si>
  <si>
    <t xml:space="preserve">Som udgangspunkt anbefales det, at monitorer indstilles til LUT som overholder DICOM GSDF-standarden. Der kan dog afviges fra dette i tilfælde, </t>
  </si>
  <si>
    <t>Definitioner:</t>
  </si>
  <si>
    <t xml:space="preserve">Kontrollér, om der findes defekte pixler, såsom: lysende, mørke (døde) eller på anden måde ødelagte pixler, samt øvrige fejl. </t>
  </si>
  <si>
    <t>Modtage- og statuskontrol:</t>
  </si>
  <si>
    <t>Billede fra gennemlysning brugt til vurdering af billedkvaliteten gemmes og vedlægges kontrollen som en ukomprimeret DICOM-fil.</t>
  </si>
  <si>
    <t>Ydre filtrering fastgøres på udgangen af røntgenrøret.</t>
  </si>
  <si>
    <t>Mini C-buer:</t>
  </si>
  <si>
    <t>Samme procedure som ved gennemlysning.</t>
  </si>
  <si>
    <t>Modtagekontrol:</t>
  </si>
  <si>
    <t>Statuskontrol:</t>
  </si>
  <si>
    <t>Kontrollen udføres for én feltstørrelse (ca. 25 cm) på alle monitorer.</t>
  </si>
  <si>
    <t>Kontrollen udføres for øvrige feltstørrelser på én monitor.</t>
  </si>
  <si>
    <t>Anvend gerne digital zoom/forstørrelse af billedet ved evaluering af højkontrastopløsningen.</t>
  </si>
  <si>
    <t xml:space="preserve">Hvis fokuspletten ikke er markeret på røret, kan dens placering måles vha. procedure beskrevet i EFOMP dynamic x-ray. </t>
  </si>
  <si>
    <t>Kontrollen udføres under fuld udblænding for alle systemets mulige feltstørrelser.</t>
  </si>
  <si>
    <t>Placér kobberfilter i strålegangen for at beskytte detektor.</t>
  </si>
  <si>
    <t>Udføres nemmest med overbordsrør.</t>
  </si>
  <si>
    <t>Fantom med røntgenfaste markeringer/trådnet med kendte dimensioner kan også anvendes</t>
  </si>
  <si>
    <t>rektangulære testobjekt.</t>
  </si>
  <si>
    <t>Der må ikke kunne blændes mere end 2 % af SID ud over billedfeltet</t>
  </si>
  <si>
    <t>Kontrollér om raster kan fjernes uden brug af værktøj.</t>
  </si>
  <si>
    <t>Felt [ rektangulær / cirkulær ]</t>
  </si>
  <si>
    <t>CINE - optagelse / eksponering</t>
  </si>
  <si>
    <t>4.3 Maksimal indgangsdosishastighed og apparatets dosisindikator, DI</t>
  </si>
  <si>
    <t>Dosimeter, 2 mm Cu filter; Mini C-bue: 0,5 mm Cu filter</t>
  </si>
  <si>
    <t>Målingen gentages for samme klinisk relevante programmer som målt i 4.2.</t>
  </si>
  <si>
    <t>ydre filtrering medfører mA-mætning).</t>
  </si>
  <si>
    <t xml:space="preserve">Højkontrast opløsningen bør overholde tabellens minimumskrav for lp/mm </t>
  </si>
  <si>
    <t xml:space="preserve">  </t>
  </si>
  <si>
    <t>Detektor [ ionkammer / SSD detektor / ekstern KAP meter ]</t>
  </si>
  <si>
    <t>4.1</t>
  </si>
  <si>
    <t>Dosimeter</t>
  </si>
  <si>
    <t>Maksimal dosishastighed og apparatets dosisindikator, DI</t>
  </si>
  <si>
    <t>Maksimal dosishastighed</t>
  </si>
  <si>
    <t>Apparatets dosisindikator, DI</t>
  </si>
  <si>
    <t>Værdi</t>
  </si>
  <si>
    <t>på</t>
  </si>
  <si>
    <t>apparat</t>
  </si>
  <si>
    <t>Indstilling af kV [ manuel / auto ]</t>
  </si>
  <si>
    <t>Kvalitetskontrol af apparatur til gennemlysning og intervention</t>
  </si>
  <si>
    <t>Modtage- og statuskontrol samt eftersyn</t>
  </si>
  <si>
    <t>Datavalidering - Lister</t>
  </si>
  <si>
    <t>Opslag dosis</t>
  </si>
  <si>
    <t>Opslag - HVL</t>
  </si>
  <si>
    <t>Opslag - Højkontrast og Lavkontrast</t>
  </si>
  <si>
    <t>Leje i strålegang [ ja / nej ]</t>
  </si>
  <si>
    <t>10</t>
  </si>
  <si>
    <t>Medusa nr. / Apparat nr.:</t>
  </si>
  <si>
    <t>Generelt:</t>
  </si>
  <si>
    <r>
      <t xml:space="preserve">Lineal og mønter/ markeringer el.lign. Røntgenfast lineal. </t>
    </r>
    <r>
      <rPr>
        <sz val="11"/>
        <rFont val="Calibri"/>
        <family val="2"/>
        <scheme val="minor"/>
      </rPr>
      <t>Kobberfilter.</t>
    </r>
  </si>
  <si>
    <t>Rektangulære felter:</t>
  </si>
  <si>
    <r>
      <rPr>
        <b/>
        <sz val="11"/>
        <color theme="1"/>
        <rFont val="Calibri"/>
        <family val="2"/>
        <scheme val="minor"/>
      </rPr>
      <t>For apparatur med variabel SID</t>
    </r>
    <r>
      <rPr>
        <sz val="11"/>
        <color theme="1"/>
        <rFont val="Calibri"/>
        <family val="2"/>
        <scheme val="minor"/>
      </rPr>
      <t>: Indstil til minimum, maksimum og en mellemliggende SID, hvis muligt.</t>
    </r>
  </si>
  <si>
    <t xml:space="preserve">Anbring en røntgenfast lineal eller en almindelig lineal og to røntgenfaste markeringer direkte på billeddetektoren, </t>
  </si>
  <si>
    <t>så linealen følger cirklens diameter og eventuelle markeringerne rammer kanten af feltet.</t>
  </si>
  <si>
    <t>Anbring en røntgenfast lineal eller en almindelig lineal og to røntgenfaste markeringer direkte på billeddetektoren,</t>
  </si>
  <si>
    <t xml:space="preserve"> så linealen følger det rektangulære strålingsfelts længste kant og eventuelle markeringerne rammer hjørnerne af feltet. </t>
  </si>
  <si>
    <t>Hvis diagonal er angivet, måles denne.</t>
  </si>
  <si>
    <t>Udføres om muligt som overbordsrør, alternativt vandret strålegang.</t>
  </si>
  <si>
    <t xml:space="preserve">Anbring et testobjekt med kendte mål direkte på billeddetektoren (f.eks. 1 mm Cu-plade ca. 15 cm x 15 cm ved rektangulære </t>
  </si>
  <si>
    <t xml:space="preserve">Anbring evt. en røntgenfast lineal langs diameteren af det cirkulære testobjekt eller langs den længste kant eller diagonal af det </t>
  </si>
  <si>
    <t xml:space="preserve">Blænderne køres herefter helt ud. Der må ikke kunne blændes ud over billedfeltet. Dette kan enten kontrolleres ved, at blænderne </t>
  </si>
  <si>
    <t xml:space="preserve">stadig anes i kanten af billedet ved fuldt udblændet felt, eller ved at lytte efter at motorlyd for blænder stopper, netop som blænderne </t>
  </si>
  <si>
    <t>Modtagekontrol og årlig statuskontrol</t>
  </si>
  <si>
    <r>
      <rPr>
        <b/>
        <sz val="11"/>
        <color theme="1"/>
        <rFont val="Calibri"/>
        <family val="2"/>
        <scheme val="minor"/>
      </rPr>
      <t>A</t>
    </r>
    <r>
      <rPr>
        <sz val="11"/>
        <color theme="1"/>
        <rFont val="Calibri"/>
        <family val="2"/>
        <scheme val="minor"/>
      </rPr>
      <t>: Kontrollér om eksponeringsindikator aktiveres under gennemlysning. Eksponeringsindikator kan være lyd, lys eller begge dele.</t>
    </r>
  </si>
  <si>
    <r>
      <rPr>
        <b/>
        <sz val="11"/>
        <color theme="1"/>
        <rFont val="Calibri"/>
        <family val="2"/>
        <scheme val="minor"/>
      </rPr>
      <t>B:</t>
    </r>
    <r>
      <rPr>
        <sz val="11"/>
        <color theme="1"/>
        <rFont val="Calibri"/>
        <family val="2"/>
        <scheme val="minor"/>
      </rPr>
      <t xml:space="preserve"> Fortsæt med efterfølgende kontrolpunkter og registrer parallelt hermed om hørbar alarmindikator aktiveres efter maksimalt </t>
    </r>
  </si>
  <si>
    <t xml:space="preserve">Afdæk detektor og/eller nedjuster kVp og mA manuelt, hvis der ikke nås op på 5 minutters samlet effektiv gennemlysningstid ved </t>
  </si>
  <si>
    <r>
      <rPr>
        <b/>
        <sz val="11"/>
        <color theme="1"/>
        <rFont val="Calibri"/>
        <family val="2"/>
        <scheme val="minor"/>
      </rPr>
      <t>A</t>
    </r>
    <r>
      <rPr>
        <sz val="11"/>
        <color theme="1"/>
        <rFont val="Calibri"/>
        <family val="2"/>
        <scheme val="minor"/>
      </rPr>
      <t>: Eksponeringsindikator skal straks aktiveres ved påbegyndt gennemlysning.</t>
    </r>
  </si>
  <si>
    <r>
      <rPr>
        <b/>
        <sz val="11"/>
        <color theme="1"/>
        <rFont val="Calibri"/>
        <family val="2"/>
        <scheme val="minor"/>
      </rPr>
      <t>B:</t>
    </r>
    <r>
      <rPr>
        <sz val="11"/>
        <color theme="1"/>
        <rFont val="Calibri"/>
        <family val="2"/>
        <scheme val="minor"/>
      </rPr>
      <t xml:space="preserve"> Hørbar alarm skal aktiveres efter maksimalt 5 min. samlet effektiv gennemlysningstid.</t>
    </r>
  </si>
  <si>
    <t xml:space="preserve"> Pædiatrisk brug</t>
  </si>
  <si>
    <t>kV–meter</t>
  </si>
  <si>
    <t>Placér kV-meteret direkte på billeddetektoren eller på lejet.</t>
  </si>
  <si>
    <t>Indstil gennemlysningsapparatet til en fast kVp-værdi, gennemlys og aflæs kV–meteret.</t>
  </si>
  <si>
    <t>Gentag målingen for minimum 3 forskellige kVp-værdier, passende fordelt over klinisk relevant kVp-interval.</t>
  </si>
  <si>
    <t>Den relative afvigelse skal være ≤ 10 % og bør være ≤ 5 %</t>
  </si>
  <si>
    <t xml:space="preserve">Målingerne kan være udført i kontrolpunkt 3.1, hvis der er benyttet dosimeter med mulighed for samtidig angivelse af både </t>
  </si>
  <si>
    <t>HVL og totalfiltrering.</t>
  </si>
  <si>
    <t xml:space="preserve">Ellers bestemmes HVL alternativt ved standard dosismålinger med forskellige tykkelse Al-plader til en dosisreduktion på 50 % er opnået. </t>
  </si>
  <si>
    <t xml:space="preserve">Dosismålingerne bør foretages 50 cm - 100 cm fra fokus og ved 70 – 80 kVp. (Detaljeret procedure kan findes i EFOMP dynamic x-ray). </t>
  </si>
  <si>
    <t>Totalfiltreringen skal være ≥ 2,5 mm Al uafhængigt af kV - se tabel i vejledning</t>
  </si>
  <si>
    <t>Lamb: Diffus lysreflektion fra omgivelserne</t>
  </si>
  <si>
    <t xml:space="preserve">Rengør skærmen og Indstil monitor til ønsket LUT. </t>
  </si>
  <si>
    <t>Kontrastforhold :</t>
  </si>
  <si>
    <t xml:space="preserve">Måling af lystæthed anbefales udført med near-range luminansmåler[1], da målingen herved er uafhængig af faktisk belysningsstyrke i rummet, </t>
  </si>
  <si>
    <t xml:space="preserve">som for gennemlysningsapparatur, ofte kan være svær at kontrollere. Monitorens kontrastforhold kan derefter eftervises i en beregning, </t>
  </si>
  <si>
    <t xml:space="preserve">hvor belysningsstyrke defineres til 100 lux og med kendskab til monitorens reflektionskoefficient (se under beregninger). Ved direkte måling af </t>
  </si>
  <si>
    <t>kontrastforholdet med teleskopisk luminansmåler[2] er det derimod nødvendigt først at sikre en belysningsstyrke på maksimalt 100 lux i rummet.</t>
  </si>
  <si>
    <t>L: Lystæthed målt uden Lamb (med near-range luminansmåler), L’: Lystæthed målt med Lamb (med teleskopisk luminansmåler)</t>
  </si>
  <si>
    <t xml:space="preserve"> Ved modtagekontrol: Mål lystætheden centralt samt i hvert hjørne af testbilledet.</t>
  </si>
  <si>
    <r>
      <rPr>
        <b/>
        <sz val="11"/>
        <color theme="1"/>
        <rFont val="Calibri"/>
        <family val="2"/>
        <scheme val="minor"/>
      </rPr>
      <t>Kun modtagekontrol:</t>
    </r>
    <r>
      <rPr>
        <b/>
        <i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Indstillet kalibreret lystæthed: Lmaks ≥ 350 cd/m2 ved ønsket LUT.</t>
    </r>
  </si>
  <si>
    <r>
      <rPr>
        <i/>
        <sz val="11"/>
        <color theme="1"/>
        <rFont val="Calibri"/>
        <family val="2"/>
        <scheme val="minor"/>
      </rPr>
      <t>Kontrastforhold:</t>
    </r>
    <r>
      <rPr>
        <sz val="11"/>
        <color theme="1"/>
        <rFont val="Calibri"/>
        <family val="2"/>
        <scheme val="minor"/>
      </rPr>
      <t xml:space="preserve"> L’maks/ L’min ≥ 250 (defineret ved E = 100 lux).</t>
    </r>
  </si>
  <si>
    <r>
      <t xml:space="preserve">Homogenitet: </t>
    </r>
    <r>
      <rPr>
        <sz val="11"/>
        <color theme="1"/>
        <rFont val="Calibri"/>
        <family val="2"/>
        <scheme val="minor"/>
      </rPr>
      <t>Modtagekontrol: (Lmålt,højeste – Lmålt,laveste)/Lmålt,laveste ≤ 30 %, Statuskontrol: Ingen synlig inhomogenitet</t>
    </r>
  </si>
  <si>
    <r>
      <rPr>
        <i/>
        <sz val="11"/>
        <color theme="1"/>
        <rFont val="Calibri"/>
        <family val="2"/>
        <scheme val="minor"/>
      </rPr>
      <t>Artefakter</t>
    </r>
    <r>
      <rPr>
        <sz val="11"/>
        <color theme="1"/>
        <rFont val="Calibri"/>
        <family val="2"/>
        <scheme val="minor"/>
      </rPr>
      <t>: Ingen pixelfejl, ridser mv. der har indflydelse på diagnostikken.</t>
    </r>
  </si>
  <si>
    <t>Kobberpladen på 1 mm fastgøres på udgangen af røntgenrøret.</t>
  </si>
  <si>
    <t>Gennemlys og vurdér visuelt om billedet fremstår homogent med ensartet gråtone-niveau og er uden synlige artefakter.</t>
  </si>
  <si>
    <t xml:space="preserve">Hvis man ikke opnår et homogent billede, fordi billedbehandlingen fejler, kan man lægge et lille objekt i periferien af strålefeltet, så der opnås en </t>
  </si>
  <si>
    <t>kontrastforskel i billedet</t>
  </si>
  <si>
    <t>Billedet bør fremstå homogent med ensartet gråtoneniveau.</t>
  </si>
  <si>
    <t>Ingen artefakter, der har indflydelse på diagnostikken.</t>
  </si>
  <si>
    <t>NB: For billedforstærkere er det normalt og acceptabelt at gråtonen i centrum er en anelse lysere end i periferien, men der må ikke være bratte overgange.</t>
  </si>
  <si>
    <t>Fantom: Testfantom til kontrol af billedkvalitet.</t>
  </si>
  <si>
    <t>Mini C-buer: Hvis brug af testfantomets specificerede ydre filtrering (typisk 1 mm Cu) medfører mA-mætning, udføres kontrollen i stedet med 0,5 mm Cu</t>
  </si>
  <si>
    <t>Gennemlysning</t>
  </si>
  <si>
    <t>Efter endt gennemlysning vurderes om kontrastforskellen i lavkontrastfelterne [0 % - 5 %] og [95 % - 100 %] er synlige.</t>
  </si>
  <si>
    <t>Juster, om nødvendigt, på lys- og kontrastindstillinger. Det er vigtigt, at hvid fremstår som hvid og ikke er "overbelyst", så hvid fremstår "glasagtig".</t>
  </si>
  <si>
    <t>Justering foretages i mindst ét program.</t>
  </si>
  <si>
    <t xml:space="preserve">Samme fremgangsmåde men med fuld feltstørrelse og evt. med brug af 0,5 mm Cu som ydre filtrering (i tilfælde hvor testfantomets specificerede </t>
  </si>
  <si>
    <t xml:space="preserve">Kontrastforskellen i lavkontrastfelterne [0 % - 5 %] og [95 % - 100 %] bør være synlige i mindst ét program. </t>
  </si>
  <si>
    <t>Mini C-buer: Hvis testfantomets specificerede ydre filtrering (typisk 1 mm Cu) medfører mA-mætning, udføres kontrollen i stedet med 0,5 mm Cu.</t>
  </si>
  <si>
    <t xml:space="preserve">Under gennemlysning vurderes hvor mange lavkontrastskiver, der er synlige i billedet. Notér antallet, af skiver samt kV. og mA. </t>
  </si>
  <si>
    <t>Vælg mest anvendte kliniske gennemlysningsprogram og passende cine-optagelse/ eksponering.</t>
  </si>
  <si>
    <t xml:space="preserve">Gennemlysning </t>
  </si>
  <si>
    <t>Hvis en monitorvogn kan anvendes med flere C-buer uanset fabrikat og model, anses kontrollen som udført, hvis den er udført med én C-bue</t>
  </si>
  <si>
    <t>Generelt :</t>
  </si>
  <si>
    <t>Ved statuskontrol bør der mindst kunne ses referenceværdi minus to skiver.</t>
  </si>
  <si>
    <r>
      <rPr>
        <i/>
        <sz val="11"/>
        <color theme="1"/>
        <rFont val="Calibri"/>
        <family val="2"/>
        <scheme val="minor"/>
      </rPr>
      <t>Gennemlysning</t>
    </r>
    <r>
      <rPr>
        <sz val="11"/>
        <color theme="1"/>
        <rFont val="Calibri"/>
        <family val="2"/>
        <scheme val="minor"/>
      </rPr>
      <t>: Lavkontrastfølsomhed bør være ≤ 4,0 %.</t>
    </r>
  </si>
  <si>
    <r>
      <rPr>
        <i/>
        <sz val="11"/>
        <color theme="1"/>
        <rFont val="Calibri"/>
        <family val="2"/>
        <scheme val="minor"/>
      </rPr>
      <t>Cine-optagelse/eksponering:</t>
    </r>
    <r>
      <rPr>
        <sz val="11"/>
        <color theme="1"/>
        <rFont val="Calibri"/>
        <family val="2"/>
        <scheme val="minor"/>
      </rPr>
      <t xml:space="preserve"> Lavkontrastfølsomhed bør være ≤ 2,7 %.</t>
    </r>
  </si>
  <si>
    <r>
      <rPr>
        <i/>
        <sz val="11"/>
        <color theme="1"/>
        <rFont val="Calibri"/>
        <family val="2"/>
        <scheme val="minor"/>
      </rPr>
      <t>Mini C-buer:</t>
    </r>
    <r>
      <rPr>
        <sz val="11"/>
        <color theme="1"/>
        <rFont val="Calibri"/>
        <family val="2"/>
        <scheme val="minor"/>
      </rPr>
      <t xml:space="preserve"> Hvis det anvendte fantoms nominelle værdier for lavkontrastfølsomhed er specificeret for gennemlysning ved 70 kVp og 1 mm Cu, vil disse værdier</t>
    </r>
  </si>
  <si>
    <t xml:space="preserve"> ikke kunne bruges, når der anvendes 0,5 mm Cu.</t>
  </si>
  <si>
    <t>I stedet kan fastlægges referenceværdier for antal synlige kontrastskiver ved modtagekontrollen.</t>
  </si>
  <si>
    <t>Dog minimum samme antal kontrastskiver som specificeret for lavkontrastfølsomhed på 4,0 %, ved 70 kVp, 1 mm Cu (antal afhænger af fantom).</t>
  </si>
  <si>
    <r>
      <rPr>
        <i/>
        <sz val="11"/>
        <color theme="1"/>
        <rFont val="Calibri"/>
        <family val="2"/>
        <scheme val="minor"/>
      </rPr>
      <t>Loftshængte monitorer og monitorvogne:</t>
    </r>
    <r>
      <rPr>
        <sz val="11"/>
        <color theme="1"/>
        <rFont val="Calibri"/>
        <family val="2"/>
        <scheme val="minor"/>
      </rPr>
      <t xml:space="preserve"> Bør ikke have en ringere billedkvalitet end monitor på gennemlysningsapparatet.</t>
    </r>
  </si>
  <si>
    <t>Fremgangsmåde:</t>
  </si>
  <si>
    <t>Vælg mest anvendte kliniske gennemlysningsprogram og passende cine-optagelse/eksponering.</t>
  </si>
  <si>
    <t xml:space="preserve">Placér fantomet direkte på billeddetektoren, så linjerne i linjepar grupperne danner en vinkel på ca. 45° med billeddetektorens pixel-matrix, monitorernes </t>
  </si>
  <si>
    <t>pixel-matrix og evt. raster.</t>
  </si>
  <si>
    <t>Gennemlys med automatik og valgt program indtil skærmbilledet har stabiliseret sig.</t>
  </si>
  <si>
    <t>Efter endt gennemlysning noteres kVp og mA.</t>
  </si>
  <si>
    <t>Aflæs, hvor mange grupper af linjepar der er synlige på skærmbilledet og notér antallet. Til et gruppenummer svarer et antal linjepar pr. mm.</t>
  </si>
  <si>
    <t>Med synlige linjepar menes at linjerne er adskilte i hele deres længde inden for gruppen.</t>
  </si>
  <si>
    <t xml:space="preserve">Højkontrastopløsning ved Cine-optagelse/eksponering: </t>
  </si>
  <si>
    <t>Billeder fra vurdering af opløsningsevnen vedlægges kontrollen som en ukomprimeret DICOM-fil.</t>
  </si>
  <si>
    <t>Kontrollen kan udføres både med og uden ydre filtrering.</t>
  </si>
  <si>
    <t>Vurdér ved gennemlysning, om testfantomets cirkelobjekt fremtræder som en cirkel uden forvrængning på skærmbilledet.</t>
  </si>
  <si>
    <t>6.3. Eftersyn af kontrolpanel og displays</t>
  </si>
  <si>
    <t>Manual / Automatik</t>
  </si>
  <si>
    <t>Kontrollen udføres uden leje i strålegangen og kan udføres på to måder:</t>
  </si>
  <si>
    <t>Alternativt kan feltstørrelsen måles med målebånd/ røntgenlineal eller fuld udblænding ved kendt feltstørrelse kan anvendes.</t>
  </si>
  <si>
    <t>Justér blænderne så blændekanter flugter med testfantomets kontur og et veldefineret areal opnås.</t>
  </si>
  <si>
    <t>Placer dosimeter ovenpå afdækningen og gennemlys i ca. 20 sekunder.</t>
  </si>
  <si>
    <t xml:space="preserve"> Benyt den samme måleprocedure som beskrevet ovenfor med to forskellige strålekvaliteter, f.eks. 50 og 70 kVp, og en gennemlysningstid på minimum 20 sekunder.</t>
  </si>
  <si>
    <t xml:space="preserve">20 cm PMMA, der dækker hele målefeltet, dog minimum 20 cm x 20 cm. Mini C-buer: 5 cm PMMA, der dækker hele billeddetektoren. Målebånd. </t>
  </si>
  <si>
    <t>Mål/notér afstanden S fra billeddetektorens ydre overflade til fokus og afstanden H fra billeddetektorens ydre overflade til dosimeter.</t>
  </si>
  <si>
    <t>Gennemlys med valgt program og notér kVp og mA fra apparatets display, og aflæste værdier af dosishastigheden på dosimeteret.</t>
  </si>
  <si>
    <t>Der måles med brug af automatisk dosishastighedsregulering ved mest anvendte klinisk relevante programmer (både for gennemlysning og cine-optagelse/ eksponering).</t>
  </si>
  <si>
    <t>Der måles kun ved standardindstilling af dosisniveau, pulsering og feltstørrelse for hvert program.</t>
  </si>
  <si>
    <t>Placér 20 cm PMMA direkte på billeddetektoren.</t>
  </si>
  <si>
    <t>Anbring dosimeteret direkte oven på PMMA-pladerne i strålefeltet, så den automatiske dosishastighedsregulering ikke påvirkes af dosimeteret.</t>
  </si>
  <si>
    <t xml:space="preserve">Hvis det ikke er muligt at fjerne lejet eller hvis billeddetektoren ikke kan belastes med 20 cm PMMA, kan der måles med vandret strålegang, hvor PMMA-pladerne </t>
  </si>
  <si>
    <t>placeres lodret på et leje el.lign.</t>
  </si>
  <si>
    <r>
      <rPr>
        <i/>
        <sz val="11"/>
        <color theme="1"/>
        <rFont val="Calibri"/>
        <family val="2"/>
        <scheme val="minor"/>
      </rPr>
      <t>Gennemlysning:</t>
    </r>
    <r>
      <rPr>
        <sz val="11"/>
        <color theme="1"/>
        <rFont val="Calibri"/>
        <family val="2"/>
        <scheme val="minor"/>
      </rPr>
      <t xml:space="preserve"> ≤ 30 mGy/min, Mini C-buer: ≤ 5 mGy/min</t>
    </r>
  </si>
  <si>
    <r>
      <rPr>
        <i/>
        <sz val="11"/>
        <color theme="1"/>
        <rFont val="Calibri"/>
        <family val="2"/>
        <scheme val="minor"/>
      </rPr>
      <t>Cine-optagelse/eksponering</t>
    </r>
    <r>
      <rPr>
        <sz val="11"/>
        <color theme="1"/>
        <rFont val="Calibri"/>
        <family val="2"/>
        <scheme val="minor"/>
      </rPr>
      <t>: Barium-undersøgelser (oesophagus): ≤ 1 mGy/frame, Angio/DSA: ≤ 2 mGy/frame, Hjerte: ≤ 0,2 mGy/frame</t>
    </r>
  </si>
  <si>
    <r>
      <rPr>
        <i/>
        <sz val="11"/>
        <color theme="1"/>
        <rFont val="Calibri"/>
        <family val="2"/>
        <scheme val="minor"/>
      </rPr>
      <t>Andet:</t>
    </r>
    <r>
      <rPr>
        <sz val="11"/>
        <color theme="1"/>
        <rFont val="Calibri"/>
        <family val="2"/>
        <scheme val="minor"/>
      </rPr>
      <t xml:space="preserve"> ≤ 2 mGy/frame</t>
    </r>
  </si>
  <si>
    <r>
      <t>ESAKR</t>
    </r>
    <r>
      <rPr>
        <vertAlign val="subscript"/>
        <sz val="11"/>
        <color theme="1"/>
        <rFont val="Calibri"/>
        <family val="2"/>
        <scheme val="minor"/>
      </rPr>
      <t>RP</t>
    </r>
    <r>
      <rPr>
        <sz val="11"/>
        <color theme="1"/>
        <rFont val="Calibri"/>
        <family val="2"/>
        <scheme val="minor"/>
      </rPr>
      <t xml:space="preserve"> bør være:</t>
    </r>
  </si>
  <si>
    <t>Dosimeter. 20 cm PMMA, der dækker hele målefeltet, dog minimum 20 cm x 20 cm.  Mini C-buer: 5 cm PMMA, der dækker hele billeddetektoren.</t>
  </si>
  <si>
    <t>Målebånd. Blygummiforklæder, blyplader el.lign.</t>
  </si>
  <si>
    <t>For multifunktionsapparatur anvendes en SID på 1 meter.</t>
  </si>
  <si>
    <t>Der gennemlyses i tilstrækkelig tid til at ændringen i akkumuleret dosis, DI, kan registreres med mindst 2 betydende cifre</t>
  </si>
  <si>
    <t xml:space="preserve">Hvis muligt, og medmindre der fra leverandøren er angivet en anden opstilling og geometri for dosishastighedsmålinger, udføres kontrollen uden leje i strålegangen </t>
  </si>
  <si>
    <t>og ved minimum SID.</t>
  </si>
  <si>
    <t>For dette program indstilles til: højeste pulsering/kontinuert gennemlysning - højeste dosisniveau uden advarselslyd - mindste feltstørrelse</t>
  </si>
  <si>
    <t>Placér dosimeteret mellem røntgenrør og PMMA samt beskyttende materiale.</t>
  </si>
  <si>
    <r>
      <rPr>
        <b/>
        <sz val="11"/>
        <color theme="1"/>
        <rFont val="Calibri"/>
        <family val="2"/>
        <scheme val="minor"/>
      </rPr>
      <t>NB!</t>
    </r>
    <r>
      <rPr>
        <sz val="11"/>
        <color theme="1"/>
        <rFont val="Calibri"/>
        <family val="2"/>
        <scheme val="minor"/>
      </rPr>
      <t xml:space="preserve"> Ved brug af ionkammer skal PMMA-pladerne være øverst/tættest på ionkammeret, mens rækkefølgen af PMMA-plader og beskyttende materiale er ligegyldig </t>
    </r>
  </si>
  <si>
    <t xml:space="preserve">Mål/notér afstanden S fra billeddetektorens ydre overflade til fokus og afstanden H fra billeddetektorens ydre overflade til dosimeter, samt akkumuleret dosis DI1 i </t>
  </si>
  <si>
    <t>som angivet på gennemlysningsapparatet.</t>
  </si>
  <si>
    <t>Notér, under gennemlysning med automatisk dosishastighedsregulering, aflæst værdi af middel dosishastighed på dosimeteret,</t>
  </si>
  <si>
    <t>Efter endt gennemlysning aflæses værdien akkumuleret dosis DI2, som angivet på gennemlysningsapparatet og målt dosis D for gennemlysningsperioden aflæses på dosimeteret</t>
  </si>
  <si>
    <r>
      <rPr>
        <b/>
        <sz val="11"/>
        <color theme="1"/>
        <rFont val="Calibri"/>
        <family val="2"/>
        <scheme val="minor"/>
      </rPr>
      <t>1.</t>
    </r>
    <r>
      <rPr>
        <sz val="11"/>
        <color theme="1"/>
        <rFont val="Calibri"/>
        <family val="2"/>
        <scheme val="minor"/>
      </rPr>
      <t> Der vælges program med højeste dosishastighed (kun gennemlysning).</t>
    </r>
  </si>
  <si>
    <r>
      <rPr>
        <b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. Gentag kontrollen af maksimal dosishastighed for højdosis-/boostindstilling med advarselslyd, hvis en sådan findes. </t>
    </r>
  </si>
  <si>
    <t>Dosishastighed IAKR i RP: Indstilling uden advarselslyd: IAKRRP ≤ 88 mGy/min, Højdosis-/ boostindstilling med advarselslyd: IAKRRP ≤ 176 mGy/min</t>
  </si>
  <si>
    <t xml:space="preserve">Automatik </t>
  </si>
  <si>
    <t xml:space="preserve"> Cu-filter placeres foran og tæt på røntgenrøret.</t>
  </si>
  <si>
    <t>Noter følgende parametre: SID, med/uden raster, med/uden leje i strålegang.</t>
  </si>
  <si>
    <t>For ét hyppigt anvendt program måles desuden ved:</t>
  </si>
  <si>
    <t xml:space="preserve"> - alle dosisniveauer (f.eks. lav, medium, høj), et udvalg af pulsrater (mindst 3), alle feltstørrelser.</t>
  </si>
  <si>
    <t>NB: Der måles ikke ved samtlige kombinationsmuligheder. Når en parameter ændres, fastholdes de resterende ved standardindstilling.</t>
  </si>
  <si>
    <t>Ved statuskontrol bør afvigelsen i forhold til referenceværdier være ≤ 25 %</t>
  </si>
  <si>
    <t>Navngivning af indstillinger skal være retvisende.</t>
  </si>
  <si>
    <t xml:space="preserve">Ved gentaget modtagekontrol efter reparation måles op imod gældende referenceværdier fra tidligere modtagekontrol. </t>
  </si>
  <si>
    <t>Hvis afvigelsen er &gt; 25 % gentages kontrolpunkt 4.2 og 4.3 og der etableres nye referenceværdier for fremtidige kontroller.</t>
  </si>
  <si>
    <t xml:space="preserve">Det kontrolleres evt. i samarbejde med MFE, at undersøgelsen er kommet over i systemerne, herunder at KAP-værdi kommer </t>
  </si>
  <si>
    <t>over med korrekt enhed.</t>
  </si>
  <si>
    <t>For interventionsapparatur skal overførslen ske automatisk</t>
  </si>
  <si>
    <t>Enhed</t>
  </si>
  <si>
    <t>Apparatur</t>
  </si>
  <si>
    <t>Måleinstrument</t>
  </si>
  <si>
    <t>S [cm] = afstanden fra billeddetektorens ydre overflade til fokus</t>
  </si>
  <si>
    <t xml:space="preserve">H [cm] = afstanden fra billeddetektorens ydre overflade til dosimeter </t>
  </si>
  <si>
    <t xml:space="preserve">Apparatur </t>
  </si>
  <si>
    <t>Enhed for aflæst dosishastigheds på dosimeter</t>
  </si>
  <si>
    <t>RP DI 1</t>
  </si>
  <si>
    <t>RP DI 2</t>
  </si>
  <si>
    <t>L [cm] = afstanden fra billeddetektorens ydre overflade til RPDI ( datablad )</t>
  </si>
  <si>
    <t>19.09.2025 - 12.02.2025 - 12.11.2024 - 27.06.2024 - 01.02.2022</t>
  </si>
  <si>
    <t>da disse data automatisk overføres til relevante celler i resten af måleskemaet.</t>
  </si>
  <si>
    <t>Det er vigtigt at skemaet 'Generelle oplysninger' udfyldes med data som det allerførste,</t>
  </si>
  <si>
    <t xml:space="preserve">Husk altid at udfylde 'Modalitetstype', da denne oplysning har stor betydning for </t>
  </si>
  <si>
    <t>mange beregninger og for angivelse af tolerancer m.m. i vejledningens kontroller</t>
  </si>
  <si>
    <t xml:space="preserve">Måleskemaet celler ( på nær de gule ) er låst for at forhindre utilsigtede ændringer </t>
  </si>
  <si>
    <t xml:space="preserve">under arbejdsprocessen, men der er Ikke noget password, så man selv har mulighed </t>
  </si>
  <si>
    <t>for at tilpasse måleskemaet til eget brug.</t>
  </si>
  <si>
    <t>VIGTIGT !</t>
  </si>
  <si>
    <t xml:space="preserve">Vær omhyggelig med at angive enheder for målte og nominelle dosisværdier i </t>
  </si>
  <si>
    <t>Ark 4.' Dosis og dosishastighed' for korrekt beregning af kontrollens resultater</t>
  </si>
  <si>
    <t xml:space="preserve">Dato for kalibrering  </t>
  </si>
  <si>
    <t>Region H</t>
  </si>
  <si>
    <t>HGH Herlev</t>
  </si>
  <si>
    <t xml:space="preserve">2.2 Feltstørrelser </t>
  </si>
  <si>
    <t xml:space="preserve">2.1 Source Image Distance (SID) </t>
  </si>
  <si>
    <r>
      <rPr>
        <b/>
        <sz val="11"/>
        <color theme="1"/>
        <rFont val="Calibri"/>
        <family val="2"/>
        <scheme val="minor"/>
      </rPr>
      <t>For apparatur med fast SID</t>
    </r>
    <r>
      <rPr>
        <sz val="11"/>
        <color theme="1"/>
        <rFont val="Calibri"/>
        <family val="2"/>
        <scheme val="minor"/>
      </rPr>
      <t>: Mål afstand L fra fokusplet til detektorens ydre overflade.</t>
    </r>
  </si>
  <si>
    <t>Notér værdier i display ( nominel ) og mål afstandene L med målebåndet.</t>
  </si>
  <si>
    <t>Angiv afstand Y mellem detektorens ydre overflade og detektorens receptorlag, oplyst af leverandør.</t>
  </si>
  <si>
    <t>Beregnet</t>
  </si>
  <si>
    <t>Y  = Afstand mellem detektorens ydre overflade og receptorlaget  [ cm ]</t>
  </si>
  <si>
    <t>Afstanden SID bestemmes ved SID = L + Y [ cm ]</t>
  </si>
  <si>
    <t>Ved regelmæssig brug til pædiatri, skal rasteret kunne fjernes uden værktøj.</t>
  </si>
  <si>
    <t xml:space="preserve">        Ved modtagekontrol:</t>
  </si>
  <si>
    <t xml:space="preserve">        Målingen gentages for min. 3 forskellige kVp-værdier, passende fordelt over klinisk relevant kVp-interval, ved at afdække detektoren </t>
  </si>
  <si>
    <t xml:space="preserve">        med varierende tykkelser af attenuerende materiale.</t>
  </si>
  <si>
    <t xml:space="preserve">        Ved statuskontrol:</t>
  </si>
  <si>
    <t xml:space="preserve">        Måling ved 1 kVp-værdi er tilstrækkelig.</t>
  </si>
  <si>
    <t>Andre</t>
  </si>
  <si>
    <t>LEEDS 18 FL</t>
  </si>
  <si>
    <t>LEEDS 18 FG</t>
  </si>
  <si>
    <t>Filtrering</t>
  </si>
  <si>
    <t>mm Al/Cu</t>
  </si>
  <si>
    <t>Erik Andersen / 02.12.2025</t>
  </si>
  <si>
    <t>Regulering af SID. Elektrisk. Afprøves til yderkanter.</t>
  </si>
  <si>
    <r>
      <t>4.1 KAP-værdi ( P</t>
    </r>
    <r>
      <rPr>
        <b/>
        <vertAlign val="subscript"/>
        <sz val="14"/>
        <color theme="1"/>
        <rFont val="Calibri"/>
        <family val="2"/>
        <scheme val="minor"/>
      </rPr>
      <t>KA</t>
    </r>
    <r>
      <rPr>
        <b/>
        <sz val="14"/>
        <color theme="1"/>
        <rFont val="Calibri"/>
        <family val="2"/>
        <scheme val="minor"/>
      </rPr>
      <t xml:space="preserve"> )</t>
    </r>
  </si>
  <si>
    <t>Dosimeter. Testobjekt med kendte mål eller målebånd/ røntgenlineal. Evt. kan kalibreret løst/reference KAP-meter anvendes til kontrol af indbygget KAP-meter.</t>
  </si>
  <si>
    <t xml:space="preserve">Mini C-buer: </t>
  </si>
  <si>
    <t>Gennemlys ved 3 forskellige strålekvaliteter, f.eks. 50, 70 og 100 kVp.</t>
  </si>
  <si>
    <t xml:space="preserve">Efter at blænderne er justeret til et veldefineret areal, afdækkes billeddetektoren så kVp justerer til klinisk relevant område. </t>
  </si>
  <si>
    <t xml:space="preserve"> Vælg feltstørrelse med kendt areal over 100 cm2.</t>
  </si>
  <si>
    <t>Anbring reference KAP-metret direkte ved udgangen af røntgenrøret.</t>
  </si>
  <si>
    <t xml:space="preserve">Følg derefter samme måleprocedure som beskrevet ovenfor for både gennemlysningsapparatur og mini C-buer.dog uden brug af dosimeter </t>
  </si>
  <si>
    <r>
      <t>1.     Måling af P</t>
    </r>
    <r>
      <rPr>
        <b/>
        <vertAlign val="subscript"/>
        <sz val="11"/>
        <color theme="1"/>
        <rFont val="Calibri"/>
        <family val="2"/>
        <scheme val="minor"/>
      </rPr>
      <t>KA</t>
    </r>
    <r>
      <rPr>
        <b/>
        <sz val="11"/>
        <color theme="1"/>
        <rFont val="Calibri"/>
        <family val="2"/>
        <scheme val="minor"/>
      </rPr>
      <t xml:space="preserve"> med dosimeter: </t>
    </r>
  </si>
  <si>
    <r>
      <t>2.     Måling af P</t>
    </r>
    <r>
      <rPr>
        <b/>
        <vertAlign val="subscript"/>
        <sz val="11"/>
        <color theme="1"/>
        <rFont val="Calibri"/>
        <family val="2"/>
        <scheme val="minor"/>
      </rPr>
      <t>KA</t>
    </r>
    <r>
      <rPr>
        <b/>
        <sz val="11"/>
        <color theme="1"/>
        <rFont val="Calibri"/>
        <family val="2"/>
        <scheme val="minor"/>
      </rPr>
      <t xml:space="preserve"> med reference-KAP-meter:</t>
    </r>
  </si>
  <si>
    <r>
      <t>Før gennemlysning igangsættes aflæses værdien P</t>
    </r>
    <r>
      <rPr>
        <vertAlign val="subscript"/>
        <sz val="11"/>
        <color theme="1"/>
        <rFont val="Calibri"/>
        <family val="2"/>
        <scheme val="minor"/>
      </rPr>
      <t>KA1</t>
    </r>
    <r>
      <rPr>
        <sz val="11"/>
        <color theme="1"/>
        <rFont val="Calibri"/>
        <family val="2"/>
        <scheme val="minor"/>
      </rPr>
      <t xml:space="preserve"> som angivet på gennemlysningsapparatet. </t>
    </r>
  </si>
  <si>
    <r>
      <t>Efter endt gennemlysning aflæses værdien P</t>
    </r>
    <r>
      <rPr>
        <vertAlign val="subscript"/>
        <sz val="11"/>
        <color theme="1"/>
        <rFont val="Calibri"/>
        <family val="2"/>
        <scheme val="minor"/>
      </rPr>
      <t>KA2</t>
    </r>
    <r>
      <rPr>
        <sz val="11"/>
        <color theme="1"/>
        <rFont val="Calibri"/>
        <family val="2"/>
        <scheme val="minor"/>
      </rPr>
      <t xml:space="preserve"> og som angivet på gennemlysningsapparatet og målt dosis D for gennemlysningsperioden aflæses på dosimeteret. </t>
    </r>
  </si>
  <si>
    <r>
      <t>Der gennemlyses i tilstrækkelig tid til at ændringen i P</t>
    </r>
    <r>
      <rPr>
        <vertAlign val="subscript"/>
        <sz val="11"/>
        <color theme="1"/>
        <rFont val="Calibri"/>
        <family val="2"/>
        <scheme val="minor"/>
      </rPr>
      <t xml:space="preserve">KA </t>
    </r>
    <r>
      <rPr>
        <sz val="11"/>
        <color theme="1"/>
        <rFont val="Calibri"/>
        <family val="2"/>
        <scheme val="minor"/>
      </rPr>
      <t xml:space="preserve">på gennemlysningsapparatet kan registreres med mindst 2 betydende cifre. </t>
    </r>
  </si>
  <si>
    <r>
      <t>Relativ afvigelse mellem nominel ΔP</t>
    </r>
    <r>
      <rPr>
        <vertAlign val="subscript"/>
        <sz val="11"/>
        <color theme="1"/>
        <rFont val="Calibri"/>
        <family val="2"/>
        <scheme val="minor"/>
      </rPr>
      <t>KA</t>
    </r>
    <r>
      <rPr>
        <sz val="11"/>
        <color theme="1"/>
        <rFont val="Calibri"/>
        <family val="2"/>
        <scheme val="minor"/>
      </rPr>
      <t xml:space="preserve"> og målt KAP-værdi bør være ≤ 25 % </t>
    </r>
  </si>
  <si>
    <t>PKA 1</t>
  </si>
  <si>
    <t>PKA 2</t>
  </si>
  <si>
    <t>ΔPKA</t>
  </si>
  <si>
    <r>
      <t>Værdi af KAP ( P</t>
    </r>
    <r>
      <rPr>
        <vertAlign val="subscript"/>
        <sz val="11"/>
        <rFont val="Calibri"/>
        <family val="2"/>
        <scheme val="minor"/>
      </rPr>
      <t>KA</t>
    </r>
    <r>
      <rPr>
        <sz val="11"/>
        <rFont val="Calibri"/>
        <family val="2"/>
        <scheme val="minor"/>
      </rPr>
      <t xml:space="preserve"> ) indikator synlig på apparat [ ja/nej ]</t>
    </r>
  </si>
  <si>
    <r>
      <t>Enhed for KAP ( P</t>
    </r>
    <r>
      <rPr>
        <vertAlign val="subscript"/>
        <sz val="11"/>
        <rFont val="Calibri"/>
        <family val="2"/>
        <scheme val="minor"/>
      </rPr>
      <t>KA</t>
    </r>
    <r>
      <rPr>
        <sz val="11"/>
        <rFont val="Calibri"/>
        <family val="2"/>
        <scheme val="minor"/>
      </rPr>
      <t xml:space="preserve"> ) indikator på apparat </t>
    </r>
  </si>
  <si>
    <r>
      <t>Enhed for aflæst KAP værdi ( P</t>
    </r>
    <r>
      <rPr>
        <vertAlign val="subscript"/>
        <sz val="11"/>
        <rFont val="Calibri"/>
        <family val="2"/>
        <scheme val="minor"/>
      </rPr>
      <t>KA</t>
    </r>
    <r>
      <rPr>
        <sz val="11"/>
        <rFont val="Calibri"/>
        <family val="2"/>
        <scheme val="minor"/>
      </rPr>
      <t xml:space="preserve"> ) på ekstern KAP meter</t>
    </r>
  </si>
  <si>
    <r>
      <t>Kontrol af KAP ( P</t>
    </r>
    <r>
      <rPr>
        <b/>
        <vertAlign val="subscript"/>
        <sz val="11"/>
        <color theme="1"/>
        <rFont val="Calibri"/>
        <family val="2"/>
        <scheme val="minor"/>
      </rPr>
      <t>KA</t>
    </r>
    <r>
      <rPr>
        <b/>
        <sz val="11"/>
        <color theme="1"/>
        <rFont val="Calibri"/>
        <family val="2"/>
        <scheme val="minor"/>
      </rPr>
      <t xml:space="preserve"> )</t>
    </r>
  </si>
  <si>
    <r>
      <t>Kontrol af synlighed af KAP ( P</t>
    </r>
    <r>
      <rPr>
        <b/>
        <vertAlign val="subscript"/>
        <sz val="11"/>
        <color theme="1"/>
        <rFont val="Calibri"/>
        <family val="2"/>
        <scheme val="minor"/>
      </rPr>
      <t>KA</t>
    </r>
    <r>
      <rPr>
        <b/>
        <sz val="11"/>
        <color theme="1"/>
        <rFont val="Calibri"/>
        <family val="2"/>
        <scheme val="minor"/>
      </rPr>
      <t xml:space="preserve"> ), DI og dosishastighedsindikator i display ( Kun modtagekontrol )</t>
    </r>
  </si>
  <si>
    <t>KAP-værdi skal være synlig for betjeningspersonale under intervention/langvarige gennemlysninger.</t>
  </si>
  <si>
    <t>Rådfør med MFE</t>
  </si>
  <si>
    <r>
      <t>4.1 KAP-værdi ( P</t>
    </r>
    <r>
      <rPr>
        <vertAlign val="subscript"/>
        <sz val="11"/>
        <color theme="1"/>
        <rFont val="Calibri"/>
        <family val="2"/>
        <scheme val="minor"/>
      </rPr>
      <t>KA</t>
    </r>
    <r>
      <rPr>
        <sz val="11"/>
        <color theme="1"/>
        <rFont val="Calibri"/>
        <family val="2"/>
        <scheme val="minor"/>
      </rPr>
      <t xml:space="preserve"> )</t>
    </r>
  </si>
  <si>
    <t>4.3. Maksimal indgangsdosishastighed og apparatets dosisindikator, DI</t>
  </si>
  <si>
    <r>
      <rPr>
        <b/>
        <sz val="11"/>
        <color theme="1"/>
        <rFont val="Calibri"/>
        <family val="2"/>
        <scheme val="minor"/>
      </rPr>
      <t>Generelt:</t>
    </r>
    <r>
      <rPr>
        <sz val="11"/>
        <color theme="1"/>
        <rFont val="Calibri"/>
        <family val="2"/>
        <scheme val="minor"/>
      </rPr>
      <t xml:space="preserve"> Til de målte afstande skal lægges en evt. nominel afstand mellem ydre overflade og detektor, oplyst af leverandør.</t>
    </r>
  </si>
  <si>
    <r>
      <rPr>
        <b/>
        <i/>
        <sz val="11"/>
        <color theme="1"/>
        <rFont val="Calibri"/>
        <family val="2"/>
        <scheme val="minor"/>
      </rPr>
      <t xml:space="preserve">       Modtagekontrol</t>
    </r>
    <r>
      <rPr>
        <sz val="11"/>
        <color theme="1"/>
        <rFont val="Calibri"/>
        <family val="2"/>
        <scheme val="minor"/>
      </rPr>
      <t xml:space="preserve">: målingen gentages for min. 3 forskellige kVp-værdier, passende fordelt over klinisk relevant kVp-interval, ved at afdække detektoren med varierende </t>
    </r>
  </si>
  <si>
    <t xml:space="preserve">       tykkelser af attenuerende materiale.</t>
  </si>
  <si>
    <r>
      <rPr>
        <b/>
        <i/>
        <sz val="11"/>
        <color theme="1"/>
        <rFont val="Calibri"/>
        <family val="2"/>
        <scheme val="minor"/>
      </rPr>
      <t xml:space="preserve">      Statuskontrol</t>
    </r>
    <r>
      <rPr>
        <sz val="11"/>
        <color theme="1"/>
        <rFont val="Calibri"/>
        <family val="2"/>
        <scheme val="minor"/>
      </rPr>
      <t>: Måling ved én kVp-værdi er tilstrækkelig.</t>
    </r>
  </si>
  <si>
    <r>
      <t>KAP ( P</t>
    </r>
    <r>
      <rPr>
        <vertAlign val="subscript"/>
        <sz val="10"/>
        <color theme="1"/>
        <rFont val="Verdana"/>
        <family val="2"/>
      </rPr>
      <t>KA</t>
    </r>
    <r>
      <rPr>
        <sz val="10"/>
        <color theme="1"/>
        <rFont val="Verdana"/>
        <family val="2"/>
      </rPr>
      <t xml:space="preserve"> )</t>
    </r>
  </si>
  <si>
    <t>Advarseslyd skal straks aktiveres ved påbegyndt gennemlysning på højdosis-/ boostindstilling.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</si>
</sst>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2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2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b/>
      <sz val="14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</font>
    <font>
      <vertAlign val="subscript"/>
      <sz val="11"/>
      <color theme="1"/>
      <name val="Calibri"/>
      <family val="2"/>
      <scheme val="minor"/>
    </font>
    <font>
      <b/>
      <vertAlign val="subscript"/>
      <sz val="14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vertAlign val="subscript"/>
      <sz val="11"/>
      <name val="Calibri"/>
      <family val="2"/>
      <scheme val="minor"/>
    </font>
    <font>
      <vertAlign val="subscript"/>
      <sz val="10"/>
      <color theme="1"/>
      <name val="Verdana"/>
      <family val="2"/>
    </font>
  </fonts>
  <fills count="13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3">
    <xf numFmtId="0" fontId="0" fillId="0" borderId="0"/>
    <xf numFmtId="0" fontId="7" fillId="0" borderId="0" applyNumberFormat="0" applyFill="0" applyBorder="0" applyAlignment="0" applyProtection="0"/>
    <xf numFmtId="0" fontId="15" fillId="8" borderId="16" applyNumberFormat="0" applyFont="0" applyAlignment="0" applyProtection="0"/>
  </cellStyleXfs>
  <cellXfs count="510">
    <xf numFmtId="0" fontId="0" fillId="0" borderId="0" xfId="0"/>
    <xf numFmtId="0" fontId="1" fillId="4" borderId="0" xfId="0" applyFont="1" applyFill="1" applyProtection="1"/>
    <xf numFmtId="0" fontId="3" fillId="4" borderId="3" xfId="0" applyFont="1" applyFill="1" applyBorder="1" applyProtection="1"/>
    <xf numFmtId="0" fontId="1" fillId="4" borderId="3" xfId="0" applyFont="1" applyFill="1" applyBorder="1" applyProtection="1"/>
    <xf numFmtId="0" fontId="6" fillId="4" borderId="0" xfId="0" applyFont="1" applyFill="1" applyProtection="1"/>
    <xf numFmtId="0" fontId="0" fillId="0" borderId="1" xfId="0" applyFont="1" applyBorder="1" applyAlignment="1" applyProtection="1">
      <alignment horizontal="left" vertical="center"/>
    </xf>
    <xf numFmtId="0" fontId="0" fillId="0" borderId="1" xfId="0" applyBorder="1" applyAlignment="1" applyProtection="1">
      <alignment horizontal="left" vertical="center"/>
    </xf>
    <xf numFmtId="0" fontId="0" fillId="0" borderId="0" xfId="0" applyAlignment="1" applyProtection="1">
      <alignment vertical="center"/>
    </xf>
    <xf numFmtId="0" fontId="0" fillId="6" borderId="10" xfId="0" applyFont="1" applyFill="1" applyBorder="1" applyAlignment="1" applyProtection="1">
      <alignment horizontal="left"/>
    </xf>
    <xf numFmtId="0" fontId="0" fillId="6" borderId="3" xfId="0" applyFont="1" applyFill="1" applyBorder="1" applyAlignment="1" applyProtection="1">
      <alignment horizontal="left"/>
    </xf>
    <xf numFmtId="0" fontId="1" fillId="6" borderId="3" xfId="0" applyFont="1" applyFill="1" applyBorder="1" applyProtection="1"/>
    <xf numFmtId="0" fontId="0" fillId="0" borderId="1" xfId="0" applyFont="1" applyFill="1" applyBorder="1" applyProtection="1"/>
    <xf numFmtId="0" fontId="0" fillId="0" borderId="1" xfId="0" applyBorder="1" applyAlignment="1" applyProtection="1">
      <alignment horizontal="left"/>
    </xf>
    <xf numFmtId="0" fontId="0" fillId="3" borderId="1" xfId="0" applyFill="1" applyBorder="1" applyProtection="1"/>
    <xf numFmtId="0" fontId="0" fillId="5" borderId="1" xfId="0" applyFill="1" applyBorder="1" applyProtection="1"/>
    <xf numFmtId="0" fontId="0" fillId="0" borderId="1" xfId="0" applyBorder="1" applyProtection="1"/>
    <xf numFmtId="0" fontId="0" fillId="0" borderId="15" xfId="0" applyBorder="1" applyAlignment="1" applyProtection="1">
      <alignment horizontal="left"/>
    </xf>
    <xf numFmtId="0" fontId="7" fillId="0" borderId="15" xfId="1" applyFill="1" applyBorder="1" applyProtection="1"/>
    <xf numFmtId="0" fontId="7" fillId="0" borderId="13" xfId="1" applyFill="1" applyBorder="1" applyProtection="1"/>
    <xf numFmtId="0" fontId="0" fillId="3" borderId="1" xfId="0" applyFill="1" applyBorder="1" applyAlignment="1" applyProtection="1">
      <alignment horizontal="left" vertical="center"/>
      <protection locked="0"/>
    </xf>
    <xf numFmtId="0" fontId="0" fillId="0" borderId="0" xfId="0" applyFont="1" applyFill="1" applyBorder="1" applyProtection="1"/>
    <xf numFmtId="0" fontId="3" fillId="4" borderId="1" xfId="0" applyFont="1" applyFill="1" applyBorder="1" applyAlignment="1" applyProtection="1">
      <alignment horizontal="center"/>
    </xf>
    <xf numFmtId="0" fontId="0" fillId="4" borderId="15" xfId="0" applyFont="1" applyFill="1" applyBorder="1" applyProtection="1"/>
    <xf numFmtId="0" fontId="0" fillId="4" borderId="15" xfId="0" applyFill="1" applyBorder="1" applyProtection="1"/>
    <xf numFmtId="0" fontId="0" fillId="4" borderId="14" xfId="0" applyFill="1" applyBorder="1" applyProtection="1"/>
    <xf numFmtId="0" fontId="8" fillId="4" borderId="15" xfId="0" applyFont="1" applyFill="1" applyBorder="1" applyProtection="1"/>
    <xf numFmtId="0" fontId="1" fillId="0" borderId="0" xfId="0" applyFont="1" applyFill="1" applyBorder="1" applyProtection="1"/>
    <xf numFmtId="0" fontId="0" fillId="6" borderId="7" xfId="0" applyFont="1" applyFill="1" applyBorder="1" applyAlignment="1" applyProtection="1">
      <alignment horizontal="left" vertical="center"/>
    </xf>
    <xf numFmtId="0" fontId="0" fillId="6" borderId="8" xfId="0" applyFont="1" applyFill="1" applyBorder="1" applyProtection="1"/>
    <xf numFmtId="0" fontId="1" fillId="6" borderId="8" xfId="0" applyFont="1" applyFill="1" applyBorder="1" applyProtection="1"/>
    <xf numFmtId="0" fontId="0" fillId="6" borderId="8" xfId="0" applyFont="1" applyFill="1" applyBorder="1" applyAlignment="1" applyProtection="1">
      <alignment horizontal="left"/>
    </xf>
    <xf numFmtId="0" fontId="0" fillId="6" borderId="9" xfId="0" applyFont="1" applyFill="1" applyBorder="1" applyProtection="1"/>
    <xf numFmtId="0" fontId="0" fillId="6" borderId="2" xfId="0" applyFont="1" applyFill="1" applyBorder="1" applyAlignment="1" applyProtection="1">
      <alignment horizontal="left"/>
    </xf>
    <xf numFmtId="0" fontId="0" fillId="6" borderId="0" xfId="0" applyFont="1" applyFill="1" applyBorder="1" applyProtection="1"/>
    <xf numFmtId="0" fontId="1" fillId="6" borderId="0" xfId="0" applyFont="1" applyFill="1" applyBorder="1" applyProtection="1"/>
    <xf numFmtId="0" fontId="0" fillId="6" borderId="0" xfId="0" applyFont="1" applyFill="1" applyBorder="1" applyAlignment="1" applyProtection="1">
      <alignment horizontal="left"/>
    </xf>
    <xf numFmtId="0" fontId="0" fillId="6" borderId="11" xfId="0" applyFont="1" applyFill="1" applyBorder="1" applyProtection="1"/>
    <xf numFmtId="0" fontId="0" fillId="6" borderId="2" xfId="0" applyFont="1" applyFill="1" applyBorder="1" applyAlignment="1" applyProtection="1">
      <alignment horizontal="left" vertical="center"/>
    </xf>
    <xf numFmtId="0" fontId="0" fillId="6" borderId="3" xfId="0" applyFont="1" applyFill="1" applyBorder="1" applyProtection="1"/>
    <xf numFmtId="0" fontId="0" fillId="6" borderId="12" xfId="0" applyFont="1" applyFill="1" applyBorder="1" applyProtection="1"/>
    <xf numFmtId="0" fontId="5" fillId="5" borderId="0" xfId="0" applyFont="1" applyFill="1" applyProtection="1"/>
    <xf numFmtId="0" fontId="0" fillId="5" borderId="0" xfId="0" applyFill="1" applyProtection="1"/>
    <xf numFmtId="0" fontId="0" fillId="5" borderId="0" xfId="0" applyFill="1" applyBorder="1" applyProtection="1"/>
    <xf numFmtId="0" fontId="5" fillId="5" borderId="0" xfId="0" applyFont="1" applyFill="1" applyBorder="1" applyAlignment="1" applyProtection="1">
      <alignment horizontal="right"/>
    </xf>
    <xf numFmtId="0" fontId="0" fillId="0" borderId="2" xfId="0" applyFont="1" applyFill="1" applyBorder="1" applyAlignment="1" applyProtection="1">
      <alignment vertical="top"/>
    </xf>
    <xf numFmtId="0" fontId="0" fillId="0" borderId="0" xfId="0"/>
    <xf numFmtId="0" fontId="3" fillId="4" borderId="0" xfId="0" applyFont="1" applyFill="1" applyProtection="1"/>
    <xf numFmtId="0" fontId="0" fillId="0" borderId="0" xfId="0" applyFill="1" applyProtection="1"/>
    <xf numFmtId="0" fontId="0" fillId="4" borderId="0" xfId="0" applyFill="1" applyProtection="1"/>
    <xf numFmtId="0" fontId="4" fillId="2" borderId="0" xfId="0" applyFont="1" applyFill="1" applyBorder="1" applyAlignment="1" applyProtection="1">
      <alignment horizontal="left"/>
    </xf>
    <xf numFmtId="0" fontId="0" fillId="2" borderId="0" xfId="0" applyFill="1" applyBorder="1" applyProtection="1"/>
    <xf numFmtId="0" fontId="0" fillId="0" borderId="7" xfId="0" applyFont="1" applyFill="1" applyBorder="1" applyProtection="1"/>
    <xf numFmtId="0" fontId="0" fillId="0" borderId="8" xfId="0" applyFill="1" applyBorder="1" applyProtection="1"/>
    <xf numFmtId="0" fontId="0" fillId="0" borderId="2" xfId="0" applyFont="1" applyFill="1" applyBorder="1" applyProtection="1"/>
    <xf numFmtId="0" fontId="0" fillId="0" borderId="0" xfId="0" applyFill="1" applyBorder="1" applyProtection="1"/>
    <xf numFmtId="0" fontId="0" fillId="0" borderId="10" xfId="0" applyFont="1" applyFill="1" applyBorder="1" applyProtection="1"/>
    <xf numFmtId="0" fontId="4" fillId="2" borderId="3" xfId="0" applyFont="1" applyFill="1" applyBorder="1" applyAlignment="1" applyProtection="1">
      <alignment horizontal="left"/>
    </xf>
    <xf numFmtId="0" fontId="0" fillId="2" borderId="3" xfId="0" applyFill="1" applyBorder="1" applyProtection="1"/>
    <xf numFmtId="0" fontId="0" fillId="2" borderId="4" xfId="0" applyFill="1" applyBorder="1" applyAlignment="1" applyProtection="1">
      <alignment horizontal="center"/>
    </xf>
    <xf numFmtId="0" fontId="0" fillId="2" borderId="5" xfId="0" applyFill="1" applyBorder="1" applyAlignment="1" applyProtection="1">
      <alignment horizontal="center"/>
    </xf>
    <xf numFmtId="0" fontId="0" fillId="2" borderId="6" xfId="0" applyFill="1" applyBorder="1" applyAlignment="1" applyProtection="1">
      <alignment horizontal="center"/>
    </xf>
    <xf numFmtId="0" fontId="0" fillId="0" borderId="1" xfId="0" applyBorder="1" applyAlignment="1" applyProtection="1">
      <alignment horizontal="center"/>
    </xf>
    <xf numFmtId="0" fontId="0" fillId="0" borderId="12" xfId="0" applyBorder="1"/>
    <xf numFmtId="0" fontId="0" fillId="0" borderId="8" xfId="0" applyBorder="1"/>
    <xf numFmtId="0" fontId="0" fillId="0" borderId="9" xfId="0" applyBorder="1"/>
    <xf numFmtId="0" fontId="0" fillId="0" borderId="0" xfId="0" applyBorder="1"/>
    <xf numFmtId="0" fontId="0" fillId="0" borderId="11" xfId="0" applyBorder="1"/>
    <xf numFmtId="0" fontId="0" fillId="0" borderId="7" xfId="0" applyBorder="1"/>
    <xf numFmtId="0" fontId="0" fillId="0" borderId="10" xfId="0" applyBorder="1"/>
    <xf numFmtId="0" fontId="0" fillId="6" borderId="12" xfId="0" applyFont="1" applyFill="1" applyBorder="1" applyAlignment="1" applyProtection="1">
      <alignment horizontal="left"/>
    </xf>
    <xf numFmtId="0" fontId="10" fillId="0" borderId="0" xfId="0" applyFont="1" applyFill="1" applyBorder="1" applyProtection="1"/>
    <xf numFmtId="0" fontId="0" fillId="7" borderId="0" xfId="0" applyFill="1" applyProtection="1"/>
    <xf numFmtId="0" fontId="14" fillId="7" borderId="0" xfId="0" applyFont="1" applyFill="1" applyProtection="1"/>
    <xf numFmtId="0" fontId="1" fillId="2" borderId="0" xfId="0" applyFont="1" applyFill="1" applyBorder="1" applyProtection="1"/>
    <xf numFmtId="0" fontId="0" fillId="0" borderId="0" xfId="0" applyFill="1" applyBorder="1" applyAlignment="1" applyProtection="1">
      <alignment vertical="top"/>
    </xf>
    <xf numFmtId="0" fontId="0" fillId="2" borderId="0" xfId="0" applyFill="1"/>
    <xf numFmtId="14" fontId="0" fillId="3" borderId="6" xfId="0" applyNumberFormat="1" applyFill="1" applyBorder="1" applyAlignment="1" applyProtection="1">
      <alignment horizontal="center"/>
      <protection locked="0"/>
    </xf>
    <xf numFmtId="0" fontId="0" fillId="0" borderId="3" xfId="0" applyFill="1" applyBorder="1" applyProtection="1"/>
    <xf numFmtId="0" fontId="1" fillId="0" borderId="10" xfId="0" applyFont="1" applyFill="1" applyBorder="1" applyProtection="1"/>
    <xf numFmtId="0" fontId="0" fillId="0" borderId="3" xfId="0" applyFill="1" applyBorder="1" applyAlignment="1" applyProtection="1">
      <alignment vertical="top"/>
    </xf>
    <xf numFmtId="0" fontId="0" fillId="2" borderId="7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0" borderId="3" xfId="0" applyFill="1" applyBorder="1" applyAlignment="1" applyProtection="1">
      <alignment vertical="top" wrapText="1"/>
    </xf>
    <xf numFmtId="0" fontId="0" fillId="0" borderId="2" xfId="0" applyFill="1" applyBorder="1" applyProtection="1"/>
    <xf numFmtId="0" fontId="0" fillId="0" borderId="10" xfId="0" applyFill="1" applyBorder="1" applyProtection="1"/>
    <xf numFmtId="0" fontId="0" fillId="0" borderId="11" xfId="0" applyFill="1" applyBorder="1" applyProtection="1"/>
    <xf numFmtId="0" fontId="0" fillId="0" borderId="12" xfId="0" applyFill="1" applyBorder="1" applyProtection="1"/>
    <xf numFmtId="0" fontId="16" fillId="0" borderId="0" xfId="0" applyFont="1" applyFill="1" applyBorder="1" applyProtection="1"/>
    <xf numFmtId="0" fontId="0" fillId="3" borderId="1" xfId="0" applyFill="1" applyBorder="1" applyAlignment="1" applyProtection="1">
      <alignment horizontal="center"/>
      <protection locked="0"/>
    </xf>
    <xf numFmtId="0" fontId="1" fillId="0" borderId="1" xfId="0" applyFont="1" applyFill="1" applyBorder="1" applyAlignment="1" applyProtection="1">
      <alignment horizontal="center"/>
    </xf>
    <xf numFmtId="0" fontId="0" fillId="0" borderId="0" xfId="0" applyFill="1" applyBorder="1" applyAlignment="1" applyProtection="1">
      <alignment vertical="top" wrapText="1"/>
    </xf>
    <xf numFmtId="0" fontId="0" fillId="9" borderId="0" xfId="0" applyFill="1" applyAlignment="1">
      <alignment horizontal="left"/>
    </xf>
    <xf numFmtId="0" fontId="0" fillId="0" borderId="0" xfId="0" applyAlignment="1">
      <alignment horizontal="left"/>
    </xf>
    <xf numFmtId="2" fontId="0" fillId="9" borderId="0" xfId="0" applyNumberFormat="1" applyFill="1"/>
    <xf numFmtId="0" fontId="0" fillId="2" borderId="2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9" borderId="8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" xfId="0" applyFill="1" applyBorder="1" applyAlignment="1" applyProtection="1">
      <alignment horizontal="center"/>
    </xf>
    <xf numFmtId="0" fontId="0" fillId="0" borderId="3" xfId="0" applyBorder="1" applyAlignment="1">
      <alignment horizontal="center"/>
    </xf>
    <xf numFmtId="0" fontId="0" fillId="6" borderId="9" xfId="0" applyFont="1" applyFill="1" applyBorder="1" applyAlignment="1" applyProtection="1">
      <alignment horizontal="left"/>
    </xf>
    <xf numFmtId="14" fontId="0" fillId="6" borderId="11" xfId="0" applyNumberFormat="1" applyFont="1" applyFill="1" applyBorder="1" applyAlignment="1" applyProtection="1">
      <alignment horizontal="left"/>
    </xf>
    <xf numFmtId="0" fontId="0" fillId="6" borderId="11" xfId="0" applyFont="1" applyFill="1" applyBorder="1" applyAlignment="1" applyProtection="1">
      <alignment horizontal="left"/>
    </xf>
    <xf numFmtId="14" fontId="0" fillId="6" borderId="0" xfId="0" applyNumberFormat="1" applyFont="1" applyFill="1" applyBorder="1" applyAlignment="1" applyProtection="1">
      <alignment horizontal="left"/>
    </xf>
    <xf numFmtId="164" fontId="0" fillId="3" borderId="4" xfId="0" applyNumberFormat="1" applyFill="1" applyBorder="1" applyAlignment="1" applyProtection="1">
      <alignment horizontal="center"/>
      <protection locked="0"/>
    </xf>
    <xf numFmtId="164" fontId="0" fillId="3" borderId="5" xfId="0" applyNumberFormat="1" applyFill="1" applyBorder="1" applyAlignment="1" applyProtection="1">
      <alignment horizontal="center"/>
      <protection locked="0"/>
    </xf>
    <xf numFmtId="164" fontId="0" fillId="3" borderId="6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horizontal="center"/>
      <protection locked="0"/>
    </xf>
    <xf numFmtId="0" fontId="0" fillId="3" borderId="5" xfId="0" applyFill="1" applyBorder="1" applyAlignment="1" applyProtection="1">
      <alignment horizontal="center"/>
      <protection locked="0"/>
    </xf>
    <xf numFmtId="0" fontId="0" fillId="3" borderId="6" xfId="0" applyFill="1" applyBorder="1" applyAlignment="1" applyProtection="1">
      <alignment horizontal="center"/>
      <protection locked="0"/>
    </xf>
    <xf numFmtId="0" fontId="0" fillId="8" borderId="1" xfId="2" applyFont="1" applyBorder="1" applyAlignment="1" applyProtection="1">
      <alignment horizontal="center"/>
      <protection locked="0"/>
    </xf>
    <xf numFmtId="1" fontId="0" fillId="3" borderId="1" xfId="0" applyNumberForma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3" borderId="1" xfId="0" applyFont="1" applyFill="1" applyBorder="1" applyAlignment="1" applyProtection="1">
      <alignment horizontal="left" vertical="center"/>
      <protection locked="0"/>
    </xf>
    <xf numFmtId="0" fontId="1" fillId="2" borderId="3" xfId="0" applyFont="1" applyFill="1" applyBorder="1" applyProtection="1"/>
    <xf numFmtId="164" fontId="0" fillId="3" borderId="2" xfId="0" applyNumberFormat="1" applyFill="1" applyBorder="1" applyAlignment="1" applyProtection="1">
      <alignment horizontal="center"/>
      <protection locked="0"/>
    </xf>
    <xf numFmtId="0" fontId="0" fillId="9" borderId="1" xfId="0" applyFill="1" applyBorder="1" applyProtection="1"/>
    <xf numFmtId="0" fontId="0" fillId="0" borderId="1" xfId="0" applyFont="1" applyFill="1" applyBorder="1" applyAlignment="1" applyProtection="1">
      <alignment horizontal="left" vertical="center"/>
      <protection locked="0"/>
    </xf>
    <xf numFmtId="49" fontId="0" fillId="6" borderId="0" xfId="0" applyNumberFormat="1" applyFont="1" applyFill="1" applyBorder="1" applyAlignment="1" applyProtection="1">
      <alignment horizontal="left"/>
    </xf>
    <xf numFmtId="164" fontId="0" fillId="0" borderId="5" xfId="0" applyNumberFormat="1" applyFill="1" applyBorder="1" applyAlignment="1" applyProtection="1">
      <alignment horizontal="center"/>
    </xf>
    <xf numFmtId="49" fontId="0" fillId="6" borderId="0" xfId="0" applyNumberFormat="1" applyFont="1" applyFill="1" applyBorder="1" applyProtection="1"/>
    <xf numFmtId="49" fontId="0" fillId="6" borderId="3" xfId="0" applyNumberFormat="1" applyFont="1" applyFill="1" applyBorder="1" applyProtection="1"/>
    <xf numFmtId="0" fontId="4" fillId="0" borderId="0" xfId="0" applyFont="1" applyFill="1" applyBorder="1" applyAlignment="1" applyProtection="1">
      <alignment horizontal="left"/>
    </xf>
    <xf numFmtId="0" fontId="0" fillId="0" borderId="4" xfId="0" applyFill="1" applyBorder="1" applyAlignment="1" applyProtection="1">
      <alignment horizontal="center"/>
    </xf>
    <xf numFmtId="164" fontId="0" fillId="3" borderId="7" xfId="0" applyNumberFormat="1" applyFill="1" applyBorder="1" applyAlignment="1" applyProtection="1">
      <alignment horizontal="center"/>
      <protection locked="0"/>
    </xf>
    <xf numFmtId="0" fontId="3" fillId="4" borderId="0" xfId="0" applyFont="1" applyFill="1" applyAlignment="1" applyProtection="1">
      <alignment horizontal="left"/>
    </xf>
    <xf numFmtId="164" fontId="0" fillId="0" borderId="3" xfId="0" applyNumberFormat="1" applyFill="1" applyBorder="1" applyAlignment="1" applyProtection="1">
      <alignment horizontal="center"/>
    </xf>
    <xf numFmtId="164" fontId="0" fillId="0" borderId="12" xfId="0" applyNumberFormat="1" applyFill="1" applyBorder="1" applyAlignment="1" applyProtection="1">
      <alignment horizontal="center"/>
    </xf>
    <xf numFmtId="164" fontId="0" fillId="0" borderId="6" xfId="0" applyNumberFormat="1" applyFill="1" applyBorder="1" applyAlignment="1" applyProtection="1">
      <alignment horizontal="center"/>
    </xf>
    <xf numFmtId="0" fontId="9" fillId="5" borderId="0" xfId="0" applyFont="1" applyFill="1" applyProtection="1"/>
    <xf numFmtId="0" fontId="11" fillId="0" borderId="1" xfId="0" applyFont="1" applyBorder="1" applyAlignment="1" applyProtection="1">
      <alignment horizontal="left" vertical="center"/>
    </xf>
    <xf numFmtId="0" fontId="14" fillId="4" borderId="0" xfId="0" applyFont="1" applyFill="1" applyAlignment="1" applyProtection="1">
      <alignment horizontal="left"/>
    </xf>
    <xf numFmtId="164" fontId="0" fillId="0" borderId="0" xfId="0" applyNumberFormat="1" applyBorder="1" applyAlignment="1">
      <alignment horizontal="center"/>
    </xf>
    <xf numFmtId="164" fontId="0" fillId="0" borderId="3" xfId="0" applyNumberFormat="1" applyBorder="1" applyAlignment="1">
      <alignment horizontal="center"/>
    </xf>
    <xf numFmtId="0" fontId="0" fillId="0" borderId="4" xfId="0" applyBorder="1" applyAlignment="1" applyProtection="1">
      <alignment horizontal="center"/>
    </xf>
    <xf numFmtId="0" fontId="0" fillId="0" borderId="6" xfId="0" applyBorder="1" applyAlignment="1" applyProtection="1">
      <alignment horizontal="center"/>
    </xf>
    <xf numFmtId="0" fontId="9" fillId="0" borderId="0" xfId="0" applyFont="1" applyFill="1" applyBorder="1" applyProtection="1"/>
    <xf numFmtId="0" fontId="0" fillId="5" borderId="0" xfId="0" applyFill="1"/>
    <xf numFmtId="0" fontId="0" fillId="9" borderId="0" xfId="0" applyFill="1"/>
    <xf numFmtId="0" fontId="0" fillId="5" borderId="0" xfId="0" applyFill="1" applyAlignment="1">
      <alignment horizontal="center"/>
    </xf>
    <xf numFmtId="0" fontId="0" fillId="5" borderId="7" xfId="0" applyFill="1" applyBorder="1" applyAlignment="1">
      <alignment horizontal="center"/>
    </xf>
    <xf numFmtId="0" fontId="0" fillId="5" borderId="9" xfId="0" applyFill="1" applyBorder="1" applyAlignment="1">
      <alignment horizontal="center"/>
    </xf>
    <xf numFmtId="0" fontId="0" fillId="5" borderId="2" xfId="0" applyFill="1" applyBorder="1" applyAlignment="1">
      <alignment horizontal="center"/>
    </xf>
    <xf numFmtId="0" fontId="0" fillId="5" borderId="11" xfId="0" applyFill="1" applyBorder="1" applyAlignment="1">
      <alignment horizontal="center"/>
    </xf>
    <xf numFmtId="0" fontId="0" fillId="5" borderId="0" xfId="0" applyFill="1" applyBorder="1" applyAlignment="1">
      <alignment horizontal="center"/>
    </xf>
    <xf numFmtId="0" fontId="0" fillId="5" borderId="2" xfId="0" applyFill="1" applyBorder="1"/>
    <xf numFmtId="0" fontId="0" fillId="5" borderId="11" xfId="0" applyFill="1" applyBorder="1"/>
    <xf numFmtId="0" fontId="0" fillId="5" borderId="10" xfId="0" applyFill="1" applyBorder="1" applyAlignment="1">
      <alignment horizontal="center"/>
    </xf>
    <xf numFmtId="0" fontId="0" fillId="5" borderId="12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9" borderId="0" xfId="0" applyFill="1" applyAlignment="1">
      <alignment horizontal="center"/>
    </xf>
    <xf numFmtId="0" fontId="0" fillId="9" borderId="7" xfId="0" applyFill="1" applyBorder="1" applyAlignment="1">
      <alignment horizontal="center"/>
    </xf>
    <xf numFmtId="0" fontId="0" fillId="9" borderId="9" xfId="0" applyFill="1" applyBorder="1" applyAlignment="1">
      <alignment horizontal="center"/>
    </xf>
    <xf numFmtId="0" fontId="0" fillId="9" borderId="2" xfId="0" applyFill="1" applyBorder="1" applyAlignment="1">
      <alignment horizontal="center"/>
    </xf>
    <xf numFmtId="0" fontId="0" fillId="9" borderId="11" xfId="0" applyFill="1" applyBorder="1" applyAlignment="1">
      <alignment horizontal="center"/>
    </xf>
    <xf numFmtId="0" fontId="0" fillId="9" borderId="10" xfId="0" applyFill="1" applyBorder="1" applyAlignment="1">
      <alignment horizontal="center"/>
    </xf>
    <xf numFmtId="0" fontId="0" fillId="9" borderId="12" xfId="0" applyFill="1" applyBorder="1" applyAlignment="1">
      <alignment horizontal="center"/>
    </xf>
    <xf numFmtId="0" fontId="0" fillId="3" borderId="1" xfId="0" applyNumberFormat="1" applyFill="1" applyBorder="1" applyAlignment="1" applyProtection="1">
      <alignment horizontal="center"/>
      <protection locked="0"/>
    </xf>
    <xf numFmtId="0" fontId="0" fillId="11" borderId="0" xfId="0" applyFill="1" applyBorder="1" applyAlignment="1">
      <alignment horizontal="center"/>
    </xf>
    <xf numFmtId="0" fontId="0" fillId="11" borderId="0" xfId="0" applyFill="1" applyAlignment="1">
      <alignment horizontal="center"/>
    </xf>
    <xf numFmtId="0" fontId="0" fillId="11" borderId="7" xfId="0" applyFill="1" applyBorder="1" applyAlignment="1">
      <alignment horizontal="center"/>
    </xf>
    <xf numFmtId="0" fontId="0" fillId="11" borderId="9" xfId="0" applyFill="1" applyBorder="1" applyAlignment="1">
      <alignment horizontal="center"/>
    </xf>
    <xf numFmtId="0" fontId="0" fillId="11" borderId="2" xfId="0" applyFill="1" applyBorder="1" applyAlignment="1">
      <alignment horizontal="center"/>
    </xf>
    <xf numFmtId="0" fontId="0" fillId="11" borderId="11" xfId="0" applyFill="1" applyBorder="1" applyAlignment="1">
      <alignment horizontal="center"/>
    </xf>
    <xf numFmtId="0" fontId="0" fillId="11" borderId="10" xfId="0" applyFill="1" applyBorder="1" applyAlignment="1">
      <alignment horizontal="center"/>
    </xf>
    <xf numFmtId="0" fontId="0" fillId="11" borderId="12" xfId="0" applyFill="1" applyBorder="1" applyAlignment="1">
      <alignment horizontal="center"/>
    </xf>
    <xf numFmtId="0" fontId="2" fillId="11" borderId="0" xfId="0" applyFont="1" applyFill="1" applyAlignment="1">
      <alignment horizontal="center"/>
    </xf>
    <xf numFmtId="0" fontId="1" fillId="0" borderId="15" xfId="0" applyFont="1" applyBorder="1" applyAlignment="1" applyProtection="1">
      <alignment horizontal="center"/>
    </xf>
    <xf numFmtId="0" fontId="11" fillId="2" borderId="5" xfId="0" applyFont="1" applyFill="1" applyBorder="1" applyAlignment="1" applyProtection="1">
      <alignment horizontal="center"/>
    </xf>
    <xf numFmtId="0" fontId="2" fillId="2" borderId="6" xfId="0" applyFont="1" applyFill="1" applyBorder="1" applyAlignment="1" applyProtection="1">
      <alignment horizontal="center"/>
    </xf>
    <xf numFmtId="2" fontId="0" fillId="0" borderId="1" xfId="0" applyNumberFormat="1" applyFill="1" applyBorder="1" applyAlignment="1" applyProtection="1">
      <alignment horizontal="center"/>
    </xf>
    <xf numFmtId="164" fontId="0" fillId="0" borderId="1" xfId="0" applyNumberFormat="1" applyFill="1" applyBorder="1" applyAlignment="1" applyProtection="1">
      <alignment horizontal="center"/>
    </xf>
    <xf numFmtId="0" fontId="0" fillId="0" borderId="3" xfId="0" applyBorder="1" applyProtection="1"/>
    <xf numFmtId="0" fontId="0" fillId="0" borderId="3" xfId="0" applyFill="1" applyBorder="1" applyAlignment="1" applyProtection="1">
      <alignment horizontal="center"/>
    </xf>
    <xf numFmtId="0" fontId="0" fillId="0" borderId="0" xfId="0" applyProtection="1"/>
    <xf numFmtId="0" fontId="11" fillId="2" borderId="0" xfId="0" applyFont="1" applyFill="1" applyBorder="1" applyProtection="1"/>
    <xf numFmtId="0" fontId="0" fillId="2" borderId="5" xfId="0" applyFill="1" applyBorder="1" applyProtection="1"/>
    <xf numFmtId="0" fontId="0" fillId="2" borderId="4" xfId="0" applyFill="1" applyBorder="1" applyProtection="1"/>
    <xf numFmtId="0" fontId="0" fillId="2" borderId="7" xfId="0" applyFill="1" applyBorder="1" applyAlignment="1" applyProtection="1">
      <alignment horizontal="center"/>
    </xf>
    <xf numFmtId="0" fontId="0" fillId="2" borderId="2" xfId="0" applyFill="1" applyBorder="1" applyProtection="1"/>
    <xf numFmtId="0" fontId="0" fillId="2" borderId="11" xfId="0" applyFill="1" applyBorder="1" applyProtection="1"/>
    <xf numFmtId="0" fontId="0" fillId="2" borderId="10" xfId="0" applyFill="1" applyBorder="1" applyProtection="1"/>
    <xf numFmtId="0" fontId="0" fillId="2" borderId="12" xfId="0" applyFill="1" applyBorder="1" applyProtection="1"/>
    <xf numFmtId="165" fontId="0" fillId="0" borderId="1" xfId="0" applyNumberFormat="1" applyFill="1" applyBorder="1" applyAlignment="1" applyProtection="1">
      <alignment horizontal="center"/>
    </xf>
    <xf numFmtId="2" fontId="0" fillId="0" borderId="1" xfId="0" applyNumberFormat="1" applyBorder="1" applyAlignment="1" applyProtection="1">
      <alignment horizontal="center"/>
    </xf>
    <xf numFmtId="0" fontId="2" fillId="0" borderId="6" xfId="0" applyFont="1" applyFill="1" applyBorder="1" applyAlignment="1" applyProtection="1">
      <alignment horizontal="center"/>
    </xf>
    <xf numFmtId="0" fontId="0" fillId="2" borderId="7" xfId="0" applyFill="1" applyBorder="1" applyProtection="1"/>
    <xf numFmtId="0" fontId="0" fillId="2" borderId="8" xfId="0" applyFill="1" applyBorder="1" applyProtection="1"/>
    <xf numFmtId="0" fontId="0" fillId="2" borderId="9" xfId="0" applyFill="1" applyBorder="1" applyProtection="1"/>
    <xf numFmtId="2" fontId="0" fillId="2" borderId="4" xfId="0" applyNumberFormat="1" applyFill="1" applyBorder="1" applyAlignment="1" applyProtection="1">
      <alignment horizontal="center"/>
    </xf>
    <xf numFmtId="165" fontId="0" fillId="2" borderId="4" xfId="0" applyNumberFormat="1" applyFill="1" applyBorder="1" applyAlignment="1" applyProtection="1">
      <alignment horizontal="center"/>
    </xf>
    <xf numFmtId="0" fontId="2" fillId="2" borderId="4" xfId="0" applyFont="1" applyFill="1" applyBorder="1" applyAlignment="1" applyProtection="1">
      <alignment horizontal="center"/>
    </xf>
    <xf numFmtId="0" fontId="11" fillId="2" borderId="6" xfId="0" applyFont="1" applyFill="1" applyBorder="1" applyAlignment="1" applyProtection="1">
      <alignment horizontal="center"/>
    </xf>
    <xf numFmtId="165" fontId="0" fillId="0" borderId="1" xfId="0" applyNumberFormat="1" applyBorder="1" applyAlignment="1" applyProtection="1">
      <alignment horizontal="center"/>
    </xf>
    <xf numFmtId="164" fontId="0" fillId="0" borderId="1" xfId="0" applyNumberFormat="1" applyBorder="1" applyAlignment="1" applyProtection="1">
      <alignment horizontal="center"/>
    </xf>
    <xf numFmtId="0" fontId="1" fillId="0" borderId="13" xfId="0" applyFont="1" applyBorder="1" applyProtection="1"/>
    <xf numFmtId="0" fontId="0" fillId="2" borderId="2" xfId="0" applyFill="1" applyBorder="1" applyAlignment="1" applyProtection="1">
      <alignment horizontal="center"/>
    </xf>
    <xf numFmtId="0" fontId="0" fillId="2" borderId="10" xfId="0" applyFill="1" applyBorder="1" applyAlignment="1" applyProtection="1">
      <alignment horizontal="center"/>
    </xf>
    <xf numFmtId="0" fontId="1" fillId="0" borderId="0" xfId="0" applyFont="1" applyProtection="1"/>
    <xf numFmtId="0" fontId="0" fillId="0" borderId="5" xfId="0" applyBorder="1" applyProtection="1"/>
    <xf numFmtId="0" fontId="2" fillId="2" borderId="5" xfId="0" applyFont="1" applyFill="1" applyBorder="1" applyAlignment="1" applyProtection="1">
      <alignment horizontal="center"/>
    </xf>
    <xf numFmtId="0" fontId="0" fillId="0" borderId="4" xfId="0" applyBorder="1" applyProtection="1"/>
    <xf numFmtId="14" fontId="0" fillId="2" borderId="5" xfId="0" applyNumberFormat="1" applyFill="1" applyBorder="1" applyAlignment="1" applyProtection="1">
      <alignment horizontal="center"/>
    </xf>
    <xf numFmtId="0" fontId="0" fillId="0" borderId="6" xfId="0" applyBorder="1" applyProtection="1"/>
    <xf numFmtId="0" fontId="0" fillId="3" borderId="2" xfId="0" applyFill="1" applyBorder="1" applyAlignment="1" applyProtection="1">
      <alignment horizontal="center"/>
      <protection locked="0"/>
    </xf>
    <xf numFmtId="0" fontId="0" fillId="3" borderId="0" xfId="0" applyFill="1" applyBorder="1" applyAlignment="1" applyProtection="1">
      <alignment horizontal="center"/>
      <protection locked="0"/>
    </xf>
    <xf numFmtId="0" fontId="0" fillId="3" borderId="10" xfId="0" applyFill="1" applyBorder="1" applyAlignment="1" applyProtection="1">
      <alignment horizontal="center"/>
      <protection locked="0"/>
    </xf>
    <xf numFmtId="0" fontId="0" fillId="3" borderId="7" xfId="0" applyFill="1" applyBorder="1" applyAlignment="1" applyProtection="1">
      <alignment horizontal="center"/>
      <protection locked="0"/>
    </xf>
    <xf numFmtId="0" fontId="0" fillId="3" borderId="8" xfId="0" applyFill="1" applyBorder="1" applyAlignment="1" applyProtection="1">
      <alignment horizontal="center"/>
      <protection locked="0"/>
    </xf>
    <xf numFmtId="0" fontId="3" fillId="0" borderId="0" xfId="0" applyFont="1"/>
    <xf numFmtId="0" fontId="0" fillId="5" borderId="7" xfId="0" applyFill="1" applyBorder="1"/>
    <xf numFmtId="0" fontId="0" fillId="5" borderId="9" xfId="0" applyFill="1" applyBorder="1"/>
    <xf numFmtId="0" fontId="0" fillId="5" borderId="10" xfId="0" applyFill="1" applyBorder="1"/>
    <xf numFmtId="0" fontId="0" fillId="5" borderId="12" xfId="0" applyFill="1" applyBorder="1"/>
    <xf numFmtId="0" fontId="0" fillId="5" borderId="4" xfId="0" applyFill="1" applyBorder="1"/>
    <xf numFmtId="0" fontId="0" fillId="5" borderId="5" xfId="0" applyFill="1" applyBorder="1"/>
    <xf numFmtId="0" fontId="0" fillId="5" borderId="6" xfId="0" applyFill="1" applyBorder="1"/>
    <xf numFmtId="0" fontId="1" fillId="10" borderId="0" xfId="0" applyFont="1" applyFill="1"/>
    <xf numFmtId="0" fontId="1" fillId="10" borderId="0" xfId="0" applyFont="1" applyFill="1" applyBorder="1"/>
    <xf numFmtId="0" fontId="0" fillId="6" borderId="0" xfId="0" applyFill="1" applyBorder="1" applyProtection="1"/>
    <xf numFmtId="0" fontId="9" fillId="0" borderId="0" xfId="0" applyFont="1" applyProtection="1"/>
    <xf numFmtId="0" fontId="0" fillId="3" borderId="1" xfId="0" applyFill="1" applyBorder="1" applyAlignment="1" applyProtection="1">
      <alignment vertical="center"/>
      <protection locked="0"/>
    </xf>
    <xf numFmtId="0" fontId="9" fillId="0" borderId="0" xfId="0" applyFont="1" applyFill="1" applyProtection="1"/>
    <xf numFmtId="0" fontId="0" fillId="0" borderId="0" xfId="0" applyBorder="1" applyProtection="1"/>
    <xf numFmtId="0" fontId="0" fillId="0" borderId="8" xfId="0" applyBorder="1" applyProtection="1"/>
    <xf numFmtId="0" fontId="0" fillId="0" borderId="9" xfId="0" applyBorder="1" applyAlignment="1" applyProtection="1">
      <alignment horizontal="center"/>
    </xf>
    <xf numFmtId="0" fontId="0" fillId="0" borderId="7" xfId="0" applyBorder="1" applyAlignment="1" applyProtection="1">
      <alignment horizontal="center"/>
    </xf>
    <xf numFmtId="0" fontId="0" fillId="0" borderId="9" xfId="0" applyBorder="1" applyProtection="1"/>
    <xf numFmtId="0" fontId="9" fillId="0" borderId="0" xfId="0" applyFont="1" applyFill="1" applyBorder="1" applyAlignment="1" applyProtection="1">
      <alignment horizontal="center"/>
    </xf>
    <xf numFmtId="0" fontId="0" fillId="0" borderId="0" xfId="0" applyFill="1" applyBorder="1" applyAlignment="1" applyProtection="1">
      <alignment horizontal="center"/>
    </xf>
    <xf numFmtId="164" fontId="0" fillId="0" borderId="4" xfId="0" applyNumberFormat="1" applyFill="1" applyBorder="1" applyAlignment="1" applyProtection="1">
      <alignment horizontal="center"/>
    </xf>
    <xf numFmtId="0" fontId="0" fillId="0" borderId="5" xfId="0" applyFill="1" applyBorder="1" applyAlignment="1" applyProtection="1">
      <alignment horizontal="center"/>
    </xf>
    <xf numFmtId="0" fontId="0" fillId="0" borderId="5" xfId="0" applyBorder="1" applyAlignment="1" applyProtection="1">
      <alignment horizontal="center"/>
    </xf>
    <xf numFmtId="0" fontId="0" fillId="0" borderId="6" xfId="0" applyFill="1" applyBorder="1" applyAlignment="1" applyProtection="1">
      <alignment horizontal="center"/>
    </xf>
    <xf numFmtId="0" fontId="0" fillId="0" borderId="8" xfId="0" applyFill="1" applyBorder="1" applyAlignment="1" applyProtection="1">
      <alignment horizontal="left"/>
    </xf>
    <xf numFmtId="0" fontId="0" fillId="0" borderId="0" xfId="0" applyFill="1" applyBorder="1" applyAlignment="1" applyProtection="1">
      <alignment horizontal="left"/>
    </xf>
    <xf numFmtId="0" fontId="0" fillId="0" borderId="11" xfId="0" applyBorder="1" applyProtection="1"/>
    <xf numFmtId="0" fontId="0" fillId="0" borderId="3" xfId="0" applyFill="1" applyBorder="1" applyAlignment="1" applyProtection="1">
      <alignment horizontal="left"/>
    </xf>
    <xf numFmtId="0" fontId="9" fillId="0" borderId="0" xfId="0" applyFont="1" applyFill="1" applyBorder="1" applyAlignment="1" applyProtection="1">
      <alignment horizontal="left"/>
    </xf>
    <xf numFmtId="0" fontId="0" fillId="0" borderId="7" xfId="0" applyFill="1" applyBorder="1" applyProtection="1"/>
    <xf numFmtId="0" fontId="0" fillId="0" borderId="2" xfId="0" applyFill="1" applyBorder="1" applyAlignment="1" applyProtection="1">
      <alignment horizontal="left"/>
    </xf>
    <xf numFmtId="0" fontId="0" fillId="0" borderId="10" xfId="0" applyFill="1" applyBorder="1" applyAlignment="1" applyProtection="1">
      <alignment horizontal="left"/>
    </xf>
    <xf numFmtId="0" fontId="0" fillId="0" borderId="12" xfId="0" applyBorder="1" applyProtection="1"/>
    <xf numFmtId="0" fontId="0" fillId="2" borderId="6" xfId="0" applyFill="1" applyBorder="1" applyProtection="1"/>
    <xf numFmtId="0" fontId="0" fillId="2" borderId="8" xfId="0" applyFill="1" applyBorder="1" applyAlignment="1" applyProtection="1">
      <alignment horizontal="center"/>
    </xf>
    <xf numFmtId="0" fontId="0" fillId="2" borderId="3" xfId="0" applyFill="1" applyBorder="1" applyAlignment="1" applyProtection="1">
      <alignment horizontal="center"/>
    </xf>
    <xf numFmtId="0" fontId="0" fillId="0" borderId="7" xfId="0" applyFill="1" applyBorder="1" applyAlignment="1" applyProtection="1">
      <alignment horizontal="left"/>
    </xf>
    <xf numFmtId="0" fontId="0" fillId="0" borderId="8" xfId="0" applyFill="1" applyBorder="1" applyAlignment="1" applyProtection="1">
      <alignment horizontal="center"/>
    </xf>
    <xf numFmtId="0" fontId="0" fillId="0" borderId="2" xfId="0" applyBorder="1" applyProtection="1"/>
    <xf numFmtId="0" fontId="0" fillId="0" borderId="12" xfId="0" applyFill="1" applyBorder="1" applyAlignment="1" applyProtection="1">
      <alignment horizontal="center"/>
    </xf>
    <xf numFmtId="0" fontId="0" fillId="0" borderId="7" xfId="0" applyBorder="1" applyProtection="1"/>
    <xf numFmtId="0" fontId="11" fillId="0" borderId="0" xfId="0" applyFont="1" applyProtection="1"/>
    <xf numFmtId="0" fontId="9" fillId="0" borderId="0" xfId="0" applyFont="1" applyBorder="1" applyProtection="1"/>
    <xf numFmtId="0" fontId="16" fillId="0" borderId="0" xfId="0" applyFont="1" applyProtection="1"/>
    <xf numFmtId="0" fontId="0" fillId="0" borderId="10" xfId="0" applyBorder="1" applyProtection="1"/>
    <xf numFmtId="0" fontId="11" fillId="0" borderId="2" xfId="0" applyFont="1" applyBorder="1" applyProtection="1"/>
    <xf numFmtId="0" fontId="11" fillId="0" borderId="0" xfId="0" applyFont="1" applyFill="1" applyBorder="1" applyProtection="1"/>
    <xf numFmtId="0" fontId="9" fillId="0" borderId="2" xfId="0" applyFont="1" applyFill="1" applyBorder="1" applyProtection="1"/>
    <xf numFmtId="0" fontId="11" fillId="0" borderId="0" xfId="0" applyFont="1" applyBorder="1" applyProtection="1"/>
    <xf numFmtId="0" fontId="9" fillId="0" borderId="3" xfId="0" applyFont="1" applyFill="1" applyBorder="1" applyProtection="1"/>
    <xf numFmtId="0" fontId="1" fillId="0" borderId="6" xfId="0" applyFont="1" applyFill="1" applyBorder="1" applyAlignment="1" applyProtection="1"/>
    <xf numFmtId="0" fontId="1" fillId="0" borderId="13" xfId="0" applyFont="1" applyFill="1" applyBorder="1" applyAlignment="1" applyProtection="1">
      <alignment horizontal="center"/>
    </xf>
    <xf numFmtId="0" fontId="0" fillId="0" borderId="14" xfId="0" applyFill="1" applyBorder="1" applyAlignment="1" applyProtection="1">
      <alignment horizontal="center"/>
    </xf>
    <xf numFmtId="0" fontId="1" fillId="0" borderId="15" xfId="0" applyFont="1" applyFill="1" applyBorder="1" applyAlignment="1" applyProtection="1">
      <alignment horizontal="center"/>
    </xf>
    <xf numFmtId="0" fontId="1" fillId="0" borderId="0" xfId="0" applyFont="1" applyFill="1" applyBorder="1" applyAlignment="1" applyProtection="1">
      <alignment horizontal="center"/>
    </xf>
    <xf numFmtId="0" fontId="2" fillId="2" borderId="8" xfId="0" applyFont="1" applyFill="1" applyBorder="1" applyAlignment="1" applyProtection="1">
      <alignment horizontal="center"/>
    </xf>
    <xf numFmtId="0" fontId="0" fillId="2" borderId="9" xfId="0" applyFill="1" applyBorder="1" applyAlignment="1" applyProtection="1">
      <alignment horizontal="center"/>
    </xf>
    <xf numFmtId="0" fontId="2" fillId="0" borderId="0" xfId="0" applyFont="1" applyFill="1" applyBorder="1" applyAlignment="1" applyProtection="1">
      <alignment horizontal="center"/>
    </xf>
    <xf numFmtId="0" fontId="11" fillId="2" borderId="2" xfId="0" applyFont="1" applyFill="1" applyBorder="1" applyAlignment="1" applyProtection="1">
      <alignment horizontal="center"/>
    </xf>
    <xf numFmtId="0" fontId="11" fillId="2" borderId="0" xfId="0" applyFont="1" applyFill="1" applyBorder="1" applyAlignment="1" applyProtection="1">
      <alignment horizontal="center"/>
    </xf>
    <xf numFmtId="0" fontId="0" fillId="2" borderId="0" xfId="0" applyFill="1" applyBorder="1" applyAlignment="1" applyProtection="1">
      <alignment horizontal="center"/>
    </xf>
    <xf numFmtId="0" fontId="0" fillId="2" borderId="11" xfId="0" applyFill="1" applyBorder="1" applyAlignment="1" applyProtection="1">
      <alignment horizontal="center"/>
    </xf>
    <xf numFmtId="0" fontId="11" fillId="0" borderId="0" xfId="0" applyFont="1" applyFill="1" applyBorder="1" applyAlignment="1" applyProtection="1">
      <alignment horizontal="center"/>
    </xf>
    <xf numFmtId="0" fontId="0" fillId="0" borderId="1" xfId="0" applyNumberFormat="1" applyFill="1" applyBorder="1" applyAlignment="1" applyProtection="1">
      <alignment horizontal="center"/>
    </xf>
    <xf numFmtId="0" fontId="11" fillId="0" borderId="15" xfId="0" applyFont="1" applyFill="1" applyBorder="1" applyProtection="1"/>
    <xf numFmtId="165" fontId="0" fillId="0" borderId="0" xfId="0" applyNumberFormat="1" applyFill="1" applyBorder="1" applyAlignment="1" applyProtection="1">
      <alignment horizontal="center"/>
    </xf>
    <xf numFmtId="164" fontId="0" fillId="0" borderId="0" xfId="0" applyNumberFormat="1" applyFill="1" applyBorder="1" applyAlignment="1" applyProtection="1">
      <alignment horizontal="center"/>
    </xf>
    <xf numFmtId="0" fontId="11" fillId="0" borderId="15" xfId="0" applyFont="1" applyBorder="1" applyProtection="1"/>
    <xf numFmtId="0" fontId="0" fillId="0" borderId="0" xfId="0" applyFill="1" applyAlignment="1" applyProtection="1">
      <alignment horizontal="center"/>
    </xf>
    <xf numFmtId="0" fontId="11" fillId="0" borderId="7" xfId="0" applyFont="1" applyFill="1" applyBorder="1" applyProtection="1"/>
    <xf numFmtId="0" fontId="11" fillId="0" borderId="2" xfId="0" applyFont="1" applyFill="1" applyBorder="1" applyProtection="1"/>
    <xf numFmtId="0" fontId="17" fillId="0" borderId="10" xfId="0" applyFont="1" applyFill="1" applyBorder="1" applyProtection="1"/>
    <xf numFmtId="0" fontId="11" fillId="2" borderId="8" xfId="0" applyFont="1" applyFill="1" applyBorder="1" applyProtection="1"/>
    <xf numFmtId="0" fontId="1" fillId="2" borderId="0" xfId="0" applyFont="1" applyFill="1" applyProtection="1"/>
    <xf numFmtId="0" fontId="0" fillId="2" borderId="0" xfId="0" applyFill="1" applyProtection="1"/>
    <xf numFmtId="0" fontId="0" fillId="0" borderId="9" xfId="0" applyFill="1" applyBorder="1" applyProtection="1"/>
    <xf numFmtId="0" fontId="11" fillId="0" borderId="10" xfId="0" applyFont="1" applyFill="1" applyBorder="1" applyProtection="1"/>
    <xf numFmtId="0" fontId="11" fillId="0" borderId="3" xfId="0" applyFont="1" applyFill="1" applyBorder="1" applyProtection="1"/>
    <xf numFmtId="0" fontId="0" fillId="0" borderId="2" xfId="0" applyFill="1" applyBorder="1" applyAlignment="1" applyProtection="1">
      <alignment horizontal="center"/>
    </xf>
    <xf numFmtId="0" fontId="2" fillId="2" borderId="10" xfId="0" applyFont="1" applyFill="1" applyBorder="1" applyAlignment="1" applyProtection="1">
      <alignment horizontal="center"/>
    </xf>
    <xf numFmtId="0" fontId="2" fillId="0" borderId="2" xfId="0" applyFont="1" applyFill="1" applyBorder="1" applyAlignment="1" applyProtection="1">
      <alignment horizontal="center"/>
    </xf>
    <xf numFmtId="164" fontId="11" fillId="0" borderId="1" xfId="0" applyNumberFormat="1" applyFont="1" applyFill="1" applyBorder="1" applyAlignment="1" applyProtection="1">
      <alignment horizontal="center"/>
    </xf>
    <xf numFmtId="0" fontId="0" fillId="0" borderId="13" xfId="0" applyBorder="1" applyAlignment="1" applyProtection="1">
      <alignment horizontal="center"/>
    </xf>
    <xf numFmtId="0" fontId="11" fillId="2" borderId="4" xfId="0" applyFont="1" applyFill="1" applyBorder="1" applyAlignment="1" applyProtection="1">
      <alignment horizontal="center"/>
    </xf>
    <xf numFmtId="0" fontId="18" fillId="2" borderId="6" xfId="0" applyFont="1" applyFill="1" applyBorder="1" applyAlignment="1" applyProtection="1">
      <alignment horizontal="center"/>
    </xf>
    <xf numFmtId="0" fontId="0" fillId="2" borderId="12" xfId="0" applyFill="1" applyBorder="1" applyAlignment="1" applyProtection="1">
      <alignment horizontal="center"/>
    </xf>
    <xf numFmtId="0" fontId="0" fillId="0" borderId="10" xfId="0" applyBorder="1" applyAlignment="1" applyProtection="1">
      <alignment horizontal="center"/>
    </xf>
    <xf numFmtId="164" fontId="0" fillId="0" borderId="8" xfId="0" applyNumberFormat="1" applyFill="1" applyBorder="1" applyAlignment="1" applyProtection="1">
      <alignment horizontal="center"/>
    </xf>
    <xf numFmtId="0" fontId="0" fillId="0" borderId="9" xfId="0" applyFill="1" applyBorder="1" applyAlignment="1" applyProtection="1">
      <alignment horizontal="right"/>
    </xf>
    <xf numFmtId="0" fontId="0" fillId="0" borderId="11" xfId="0" applyFill="1" applyBorder="1" applyAlignment="1" applyProtection="1">
      <alignment horizontal="right"/>
    </xf>
    <xf numFmtId="0" fontId="0" fillId="2" borderId="1" xfId="0" applyFill="1" applyBorder="1" applyAlignment="1" applyProtection="1">
      <alignment horizontal="center"/>
    </xf>
    <xf numFmtId="0" fontId="0" fillId="2" borderId="13" xfId="0" applyFill="1" applyBorder="1" applyProtection="1"/>
    <xf numFmtId="0" fontId="0" fillId="2" borderId="15" xfId="0" applyFill="1" applyBorder="1" applyProtection="1"/>
    <xf numFmtId="164" fontId="0" fillId="0" borderId="14" xfId="0" applyNumberFormat="1" applyFill="1" applyBorder="1" applyAlignment="1" applyProtection="1">
      <alignment horizontal="center"/>
    </xf>
    <xf numFmtId="1" fontId="0" fillId="0" borderId="1" xfId="0" applyNumberFormat="1" applyFill="1" applyBorder="1" applyAlignment="1" applyProtection="1">
      <alignment horizontal="center"/>
    </xf>
    <xf numFmtId="14" fontId="0" fillId="0" borderId="6" xfId="0" applyNumberFormat="1" applyFill="1" applyBorder="1" applyAlignment="1" applyProtection="1">
      <alignment horizontal="center"/>
    </xf>
    <xf numFmtId="0" fontId="11" fillId="0" borderId="8" xfId="0" applyFont="1" applyFill="1" applyBorder="1" applyProtection="1"/>
    <xf numFmtId="0" fontId="13" fillId="10" borderId="13" xfId="0" applyFont="1" applyFill="1" applyBorder="1" applyAlignment="1" applyProtection="1">
      <alignment vertical="center"/>
    </xf>
    <xf numFmtId="0" fontId="0" fillId="10" borderId="15" xfId="0" applyFill="1" applyBorder="1" applyProtection="1"/>
    <xf numFmtId="0" fontId="0" fillId="10" borderId="14" xfId="0" applyFill="1" applyBorder="1" applyProtection="1"/>
    <xf numFmtId="0" fontId="1" fillId="2" borderId="1" xfId="0" applyFont="1" applyFill="1" applyBorder="1" applyAlignment="1" applyProtection="1">
      <alignment horizontal="center"/>
    </xf>
    <xf numFmtId="0" fontId="1" fillId="2" borderId="13" xfId="0" applyFont="1" applyFill="1" applyBorder="1" applyProtection="1"/>
    <xf numFmtId="0" fontId="1" fillId="2" borderId="15" xfId="0" applyFont="1" applyFill="1" applyBorder="1" applyProtection="1"/>
    <xf numFmtId="0" fontId="0" fillId="2" borderId="14" xfId="0" applyFill="1" applyBorder="1" applyProtection="1"/>
    <xf numFmtId="0" fontId="11" fillId="3" borderId="5" xfId="0" applyFont="1" applyFill="1" applyBorder="1" applyAlignment="1" applyProtection="1">
      <alignment horizontal="center"/>
      <protection locked="0"/>
    </xf>
    <xf numFmtId="0" fontId="0" fillId="0" borderId="0" xfId="0" applyFont="1" applyProtection="1"/>
    <xf numFmtId="0" fontId="11" fillId="0" borderId="0" xfId="0" applyFont="1" applyAlignment="1" applyProtection="1">
      <alignment horizontal="right"/>
    </xf>
    <xf numFmtId="0" fontId="10" fillId="0" borderId="0" xfId="0" applyFont="1" applyProtection="1"/>
    <xf numFmtId="0" fontId="0" fillId="3" borderId="5" xfId="0" applyNumberFormat="1" applyFill="1" applyBorder="1" applyAlignment="1" applyProtection="1">
      <alignment horizontal="center"/>
      <protection locked="0"/>
    </xf>
    <xf numFmtId="0" fontId="0" fillId="3" borderId="13" xfId="0" applyFill="1" applyBorder="1" applyProtection="1">
      <protection locked="0"/>
    </xf>
    <xf numFmtId="0" fontId="0" fillId="3" borderId="14" xfId="0" applyFill="1" applyBorder="1" applyProtection="1">
      <protection locked="0"/>
    </xf>
    <xf numFmtId="0" fontId="1" fillId="4" borderId="13" xfId="0" applyFont="1" applyFill="1" applyBorder="1" applyProtection="1"/>
    <xf numFmtId="0" fontId="1" fillId="0" borderId="13" xfId="0" applyFont="1" applyFill="1" applyBorder="1" applyProtection="1"/>
    <xf numFmtId="0" fontId="1" fillId="0" borderId="15" xfId="0" applyFont="1" applyFill="1" applyBorder="1" applyProtection="1"/>
    <xf numFmtId="0" fontId="1" fillId="0" borderId="14" xfId="0" applyFont="1" applyFill="1" applyBorder="1" applyProtection="1"/>
    <xf numFmtId="0" fontId="3" fillId="4" borderId="15" xfId="0" applyFont="1" applyFill="1" applyBorder="1" applyProtection="1"/>
    <xf numFmtId="0" fontId="0" fillId="0" borderId="13" xfId="0" applyFont="1" applyFill="1" applyBorder="1" applyProtection="1"/>
    <xf numFmtId="0" fontId="0" fillId="0" borderId="15" xfId="0" applyFont="1" applyFill="1" applyBorder="1" applyProtection="1"/>
    <xf numFmtId="0" fontId="0" fillId="0" borderId="13" xfId="0" applyFill="1" applyBorder="1" applyProtection="1"/>
    <xf numFmtId="0" fontId="0" fillId="0" borderId="15" xfId="0" applyFill="1" applyBorder="1" applyProtection="1"/>
    <xf numFmtId="0" fontId="0" fillId="0" borderId="14" xfId="0" applyFill="1" applyBorder="1" applyProtection="1"/>
    <xf numFmtId="0" fontId="0" fillId="0" borderId="13" xfId="0" applyBorder="1" applyProtection="1"/>
    <xf numFmtId="0" fontId="0" fillId="0" borderId="15" xfId="0" applyBorder="1" applyProtection="1"/>
    <xf numFmtId="0" fontId="0" fillId="0" borderId="14" xfId="0" applyBorder="1" applyProtection="1"/>
    <xf numFmtId="0" fontId="17" fillId="0" borderId="0" xfId="0" applyFont="1" applyFill="1" applyBorder="1" applyProtection="1"/>
    <xf numFmtId="0" fontId="1" fillId="0" borderId="2" xfId="0" applyFont="1" applyBorder="1" applyProtection="1"/>
    <xf numFmtId="0" fontId="1" fillId="0" borderId="0" xfId="0" applyFont="1" applyBorder="1" applyProtection="1"/>
    <xf numFmtId="0" fontId="0" fillId="0" borderId="15" xfId="0" applyFill="1" applyBorder="1" applyProtection="1"/>
    <xf numFmtId="0" fontId="0" fillId="0" borderId="14" xfId="0" applyFill="1" applyBorder="1" applyProtection="1"/>
    <xf numFmtId="0" fontId="0" fillId="0" borderId="15" xfId="0" applyBorder="1" applyProtection="1"/>
    <xf numFmtId="0" fontId="0" fillId="0" borderId="14" xfId="0" applyBorder="1" applyProtection="1"/>
    <xf numFmtId="0" fontId="0" fillId="0" borderId="15" xfId="0" applyFont="1" applyBorder="1" applyProtection="1"/>
    <xf numFmtId="0" fontId="0" fillId="0" borderId="14" xfId="0" applyFont="1" applyBorder="1" applyProtection="1"/>
    <xf numFmtId="0" fontId="0" fillId="0" borderId="15" xfId="0" applyFont="1" applyFill="1" applyBorder="1" applyProtection="1"/>
    <xf numFmtId="0" fontId="0" fillId="0" borderId="14" xfId="0" applyFont="1" applyFill="1" applyBorder="1" applyProtection="1"/>
    <xf numFmtId="0" fontId="0" fillId="0" borderId="15" xfId="0" applyFont="1" applyFill="1" applyBorder="1" applyAlignment="1" applyProtection="1"/>
    <xf numFmtId="0" fontId="0" fillId="0" borderId="14" xfId="0" applyFont="1" applyFill="1" applyBorder="1" applyAlignment="1" applyProtection="1"/>
    <xf numFmtId="0" fontId="1" fillId="0" borderId="15" xfId="0" applyFont="1" applyFill="1" applyBorder="1" applyProtection="1"/>
    <xf numFmtId="0" fontId="1" fillId="0" borderId="14" xfId="0" applyFont="1" applyFill="1" applyBorder="1" applyProtection="1"/>
    <xf numFmtId="0" fontId="1" fillId="0" borderId="7" xfId="0" applyFont="1" applyBorder="1" applyProtection="1"/>
    <xf numFmtId="0" fontId="1" fillId="0" borderId="8" xfId="0" applyFont="1" applyBorder="1" applyProtection="1"/>
    <xf numFmtId="0" fontId="1" fillId="0" borderId="9" xfId="0" applyFont="1" applyBorder="1" applyProtection="1"/>
    <xf numFmtId="0" fontId="1" fillId="0" borderId="11" xfId="0" applyFont="1" applyBorder="1" applyProtection="1"/>
    <xf numFmtId="0" fontId="0" fillId="0" borderId="0" xfId="0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2" xfId="0" applyFont="1" applyFill="1" applyBorder="1" applyProtection="1"/>
    <xf numFmtId="0" fontId="0" fillId="0" borderId="1" xfId="0" applyBorder="1" applyAlignment="1" applyProtection="1">
      <alignment horizontal="right" vertical="center"/>
    </xf>
    <xf numFmtId="0" fontId="0" fillId="0" borderId="15" xfId="0" applyFill="1" applyBorder="1" applyProtection="1"/>
    <xf numFmtId="0" fontId="0" fillId="0" borderId="15" xfId="0" applyBorder="1" applyProtection="1"/>
    <xf numFmtId="0" fontId="0" fillId="0" borderId="14" xfId="0" applyBorder="1" applyProtection="1"/>
    <xf numFmtId="0" fontId="0" fillId="6" borderId="8" xfId="0" applyFont="1" applyFill="1" applyBorder="1" applyProtection="1"/>
    <xf numFmtId="0" fontId="0" fillId="6" borderId="0" xfId="0" applyFont="1" applyFill="1" applyBorder="1" applyProtection="1"/>
    <xf numFmtId="0" fontId="0" fillId="0" borderId="0" xfId="0" applyFill="1" applyBorder="1"/>
    <xf numFmtId="0" fontId="0" fillId="12" borderId="1" xfId="0" applyFill="1" applyBorder="1" applyProtection="1"/>
    <xf numFmtId="0" fontId="0" fillId="0" borderId="15" xfId="0" applyFill="1" applyBorder="1" applyProtection="1"/>
    <xf numFmtId="0" fontId="1" fillId="0" borderId="13" xfId="0" applyFont="1" applyFill="1" applyBorder="1" applyProtection="1"/>
    <xf numFmtId="0" fontId="0" fillId="0" borderId="14" xfId="0" applyBorder="1" applyProtection="1"/>
    <xf numFmtId="0" fontId="17" fillId="0" borderId="2" xfId="0" applyFont="1" applyFill="1" applyBorder="1" applyProtection="1"/>
    <xf numFmtId="0" fontId="17" fillId="0" borderId="3" xfId="0" applyFont="1" applyFill="1" applyBorder="1" applyProtection="1"/>
    <xf numFmtId="0" fontId="0" fillId="0" borderId="1" xfId="0" applyNumberFormat="1" applyBorder="1" applyAlignment="1" applyProtection="1">
      <alignment horizontal="center"/>
    </xf>
    <xf numFmtId="0" fontId="0" fillId="0" borderId="5" xfId="0" applyFill="1" applyBorder="1" applyAlignment="1" applyProtection="1">
      <alignment horizontal="center"/>
      <protection locked="0"/>
    </xf>
    <xf numFmtId="0" fontId="2" fillId="2" borderId="3" xfId="0" applyFont="1" applyFill="1" applyBorder="1" applyAlignment="1" applyProtection="1">
      <alignment horizontal="center"/>
    </xf>
    <xf numFmtId="0" fontId="0" fillId="0" borderId="15" xfId="0" applyBorder="1" applyAlignment="1" applyProtection="1">
      <alignment horizontal="center"/>
    </xf>
    <xf numFmtId="0" fontId="0" fillId="0" borderId="10" xfId="0" applyFill="1" applyBorder="1" applyAlignment="1" applyProtection="1">
      <alignment horizontal="center"/>
    </xf>
    <xf numFmtId="0" fontId="0" fillId="0" borderId="2" xfId="0" applyFill="1" applyBorder="1" applyAlignment="1" applyProtection="1">
      <alignment horizontal="center"/>
      <protection locked="0"/>
    </xf>
    <xf numFmtId="0" fontId="0" fillId="0" borderId="11" xfId="0" applyFill="1" applyBorder="1" applyAlignment="1" applyProtection="1">
      <alignment horizontal="center"/>
    </xf>
    <xf numFmtId="164" fontId="0" fillId="0" borderId="11" xfId="0" applyNumberFormat="1" applyFill="1" applyBorder="1" applyAlignment="1" applyProtection="1">
      <alignment horizontal="center"/>
    </xf>
    <xf numFmtId="0" fontId="0" fillId="3" borderId="1" xfId="0" applyFont="1" applyFill="1" applyBorder="1" applyAlignment="1" applyProtection="1">
      <alignment horizontal="center"/>
      <protection locked="0"/>
    </xf>
    <xf numFmtId="49" fontId="0" fillId="3" borderId="13" xfId="0" applyNumberFormat="1" applyFont="1" applyFill="1" applyBorder="1" applyAlignment="1" applyProtection="1">
      <alignment horizontal="left" vertical="center"/>
      <protection locked="0"/>
    </xf>
    <xf numFmtId="49" fontId="0" fillId="3" borderId="15" xfId="0" applyNumberFormat="1" applyFont="1" applyFill="1" applyBorder="1" applyAlignment="1" applyProtection="1">
      <alignment horizontal="left" vertical="center"/>
      <protection locked="0"/>
    </xf>
    <xf numFmtId="49" fontId="0" fillId="3" borderId="14" xfId="0" applyNumberFormat="1" applyFont="1" applyFill="1" applyBorder="1" applyAlignment="1" applyProtection="1">
      <alignment horizontal="left" vertical="center"/>
      <protection locked="0"/>
    </xf>
    <xf numFmtId="0" fontId="0" fillId="3" borderId="13" xfId="0" applyFont="1" applyFill="1" applyBorder="1" applyAlignment="1" applyProtection="1">
      <alignment horizontal="left" vertical="center"/>
      <protection locked="0"/>
    </xf>
    <xf numFmtId="0" fontId="0" fillId="3" borderId="15" xfId="0" applyFont="1" applyFill="1" applyBorder="1" applyAlignment="1" applyProtection="1">
      <alignment horizontal="left" vertical="center"/>
      <protection locked="0"/>
    </xf>
    <xf numFmtId="0" fontId="0" fillId="3" borderId="14" xfId="0" applyFont="1" applyFill="1" applyBorder="1" applyAlignment="1" applyProtection="1">
      <alignment horizontal="left" vertical="center"/>
      <protection locked="0"/>
    </xf>
    <xf numFmtId="14" fontId="0" fillId="3" borderId="13" xfId="0" applyNumberFormat="1" applyFont="1" applyFill="1" applyBorder="1" applyAlignment="1" applyProtection="1">
      <alignment horizontal="left" vertical="center"/>
      <protection locked="0"/>
    </xf>
    <xf numFmtId="14" fontId="0" fillId="3" borderId="15" xfId="0" applyNumberFormat="1" applyFont="1" applyFill="1" applyBorder="1" applyAlignment="1" applyProtection="1">
      <alignment horizontal="left" vertical="center"/>
      <protection locked="0"/>
    </xf>
    <xf numFmtId="14" fontId="0" fillId="3" borderId="14" xfId="0" applyNumberFormat="1" applyFont="1" applyFill="1" applyBorder="1" applyAlignment="1" applyProtection="1">
      <alignment horizontal="left" vertical="center"/>
      <protection locked="0"/>
    </xf>
    <xf numFmtId="0" fontId="0" fillId="3" borderId="13" xfId="0" applyFill="1" applyBorder="1" applyProtection="1">
      <protection locked="0"/>
    </xf>
    <xf numFmtId="0" fontId="0" fillId="3" borderId="14" xfId="0" applyFill="1" applyBorder="1" applyProtection="1">
      <protection locked="0"/>
    </xf>
    <xf numFmtId="0" fontId="0" fillId="6" borderId="8" xfId="0" applyFont="1" applyFill="1" applyBorder="1" applyAlignment="1" applyProtection="1">
      <alignment horizontal="left"/>
    </xf>
    <xf numFmtId="0" fontId="0" fillId="6" borderId="0" xfId="0" applyFont="1" applyFill="1" applyBorder="1" applyAlignment="1" applyProtection="1">
      <alignment horizontal="left"/>
    </xf>
    <xf numFmtId="0" fontId="1" fillId="6" borderId="3" xfId="0" applyFont="1" applyFill="1" applyBorder="1" applyAlignment="1" applyProtection="1">
      <alignment horizontal="left"/>
    </xf>
    <xf numFmtId="0" fontId="0" fillId="3" borderId="13" xfId="0" applyFont="1" applyFill="1" applyBorder="1" applyAlignment="1" applyProtection="1">
      <alignment horizontal="left"/>
      <protection locked="0"/>
    </xf>
    <xf numFmtId="0" fontId="0" fillId="3" borderId="15" xfId="0" applyFont="1" applyFill="1" applyBorder="1" applyAlignment="1" applyProtection="1">
      <alignment horizontal="left"/>
      <protection locked="0"/>
    </xf>
    <xf numFmtId="0" fontId="0" fillId="3" borderId="14" xfId="0" applyFont="1" applyFill="1" applyBorder="1" applyAlignment="1" applyProtection="1">
      <alignment horizontal="left"/>
      <protection locked="0"/>
    </xf>
    <xf numFmtId="0" fontId="1" fillId="4" borderId="13" xfId="0" applyFont="1" applyFill="1" applyBorder="1" applyProtection="1"/>
    <xf numFmtId="0" fontId="1" fillId="4" borderId="15" xfId="0" applyFont="1" applyFill="1" applyBorder="1" applyProtection="1"/>
    <xf numFmtId="0" fontId="1" fillId="4" borderId="14" xfId="0" applyFont="1" applyFill="1" applyBorder="1" applyProtection="1"/>
    <xf numFmtId="0" fontId="0" fillId="0" borderId="13" xfId="0" applyFont="1" applyFill="1" applyBorder="1" applyProtection="1"/>
    <xf numFmtId="0" fontId="0" fillId="0" borderId="15" xfId="0" applyFont="1" applyFill="1" applyBorder="1" applyProtection="1"/>
    <xf numFmtId="0" fontId="3" fillId="4" borderId="13" xfId="0" applyFont="1" applyFill="1" applyBorder="1" applyProtection="1"/>
    <xf numFmtId="0" fontId="3" fillId="4" borderId="15" xfId="0" applyFont="1" applyFill="1" applyBorder="1" applyProtection="1"/>
    <xf numFmtId="0" fontId="3" fillId="4" borderId="14" xfId="0" applyFont="1" applyFill="1" applyBorder="1" applyProtection="1"/>
    <xf numFmtId="0" fontId="0" fillId="0" borderId="13" xfId="0" applyFont="1" applyBorder="1" applyProtection="1"/>
    <xf numFmtId="0" fontId="0" fillId="0" borderId="15" xfId="0" applyFont="1" applyBorder="1" applyProtection="1"/>
    <xf numFmtId="0" fontId="1" fillId="0" borderId="13" xfId="0" applyFont="1" applyFill="1" applyBorder="1" applyProtection="1"/>
    <xf numFmtId="0" fontId="1" fillId="0" borderId="15" xfId="0" applyFont="1" applyFill="1" applyBorder="1" applyProtection="1"/>
    <xf numFmtId="0" fontId="0" fillId="0" borderId="13" xfId="0" applyFill="1" applyBorder="1" applyProtection="1"/>
    <xf numFmtId="0" fontId="0" fillId="0" borderId="15" xfId="0" applyFill="1" applyBorder="1" applyProtection="1"/>
    <xf numFmtId="0" fontId="0" fillId="0" borderId="13" xfId="0" applyFont="1" applyFill="1" applyBorder="1" applyAlignment="1" applyProtection="1"/>
    <xf numFmtId="0" fontId="0" fillId="0" borderId="15" xfId="0" applyFont="1" applyFill="1" applyBorder="1" applyAlignment="1" applyProtection="1"/>
    <xf numFmtId="0" fontId="0" fillId="0" borderId="13" xfId="0" applyBorder="1" applyProtection="1"/>
    <xf numFmtId="0" fontId="0" fillId="0" borderId="15" xfId="0" applyBorder="1" applyProtection="1"/>
    <xf numFmtId="0" fontId="11" fillId="3" borderId="2" xfId="0" applyFont="1" applyFill="1" applyBorder="1" applyProtection="1">
      <protection locked="0"/>
    </xf>
    <xf numFmtId="0" fontId="11" fillId="3" borderId="0" xfId="0" applyFont="1" applyFill="1" applyBorder="1" applyProtection="1">
      <protection locked="0"/>
    </xf>
    <xf numFmtId="0" fontId="11" fillId="3" borderId="11" xfId="0" applyFont="1" applyFill="1" applyBorder="1" applyProtection="1">
      <protection locked="0"/>
    </xf>
    <xf numFmtId="0" fontId="9" fillId="3" borderId="2" xfId="0" applyFont="1" applyFill="1" applyBorder="1" applyProtection="1">
      <protection locked="0"/>
    </xf>
    <xf numFmtId="0" fontId="9" fillId="3" borderId="0" xfId="0" applyFont="1" applyFill="1" applyBorder="1" applyProtection="1">
      <protection locked="0"/>
    </xf>
    <xf numFmtId="0" fontId="9" fillId="3" borderId="11" xfId="0" applyFont="1" applyFill="1" applyBorder="1" applyProtection="1">
      <protection locked="0"/>
    </xf>
    <xf numFmtId="0" fontId="0" fillId="3" borderId="10" xfId="0" applyFill="1" applyBorder="1" applyProtection="1">
      <protection locked="0"/>
    </xf>
    <xf numFmtId="0" fontId="0" fillId="3" borderId="3" xfId="0" applyFill="1" applyBorder="1" applyProtection="1">
      <protection locked="0"/>
    </xf>
    <xf numFmtId="0" fontId="0" fillId="3" borderId="12" xfId="0" applyFill="1" applyBorder="1" applyProtection="1">
      <protection locked="0"/>
    </xf>
    <xf numFmtId="0" fontId="0" fillId="3" borderId="7" xfId="0" applyFill="1" applyBorder="1" applyProtection="1">
      <protection locked="0"/>
    </xf>
    <xf numFmtId="0" fontId="0" fillId="3" borderId="8" xfId="0" applyFill="1" applyBorder="1" applyProtection="1">
      <protection locked="0"/>
    </xf>
    <xf numFmtId="0" fontId="0" fillId="3" borderId="9" xfId="0" applyFill="1" applyBorder="1" applyProtection="1">
      <protection locked="0"/>
    </xf>
    <xf numFmtId="0" fontId="0" fillId="3" borderId="2" xfId="0" applyFill="1" applyBorder="1" applyProtection="1">
      <protection locked="0"/>
    </xf>
    <xf numFmtId="0" fontId="0" fillId="3" borderId="0" xfId="0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11" fillId="3" borderId="7" xfId="0" applyFont="1" applyFill="1" applyBorder="1" applyProtection="1">
      <protection locked="0"/>
    </xf>
    <xf numFmtId="0" fontId="11" fillId="3" borderId="8" xfId="0" applyFont="1" applyFill="1" applyBorder="1" applyProtection="1">
      <protection locked="0"/>
    </xf>
    <xf numFmtId="0" fontId="11" fillId="3" borderId="9" xfId="0" applyFont="1" applyFill="1" applyBorder="1" applyProtection="1">
      <protection locked="0"/>
    </xf>
    <xf numFmtId="0" fontId="11" fillId="3" borderId="10" xfId="0" applyFont="1" applyFill="1" applyBorder="1" applyProtection="1">
      <protection locked="0"/>
    </xf>
    <xf numFmtId="0" fontId="11" fillId="3" borderId="3" xfId="0" applyFont="1" applyFill="1" applyBorder="1" applyProtection="1">
      <protection locked="0"/>
    </xf>
    <xf numFmtId="0" fontId="11" fillId="3" borderId="12" xfId="0" applyFont="1" applyFill="1" applyBorder="1" applyProtection="1">
      <protection locked="0"/>
    </xf>
    <xf numFmtId="0" fontId="0" fillId="6" borderId="8" xfId="0" applyFont="1" applyFill="1" applyBorder="1" applyProtection="1"/>
    <xf numFmtId="0" fontId="0" fillId="6" borderId="0" xfId="0" applyFont="1" applyFill="1" applyBorder="1" applyProtection="1"/>
    <xf numFmtId="49" fontId="0" fillId="6" borderId="0" xfId="0" applyNumberFormat="1" applyFont="1" applyFill="1" applyBorder="1" applyAlignment="1" applyProtection="1">
      <alignment horizontal="left"/>
    </xf>
    <xf numFmtId="0" fontId="0" fillId="6" borderId="3" xfId="0" applyFont="1" applyFill="1" applyBorder="1" applyAlignment="1" applyProtection="1">
      <alignment horizontal="left"/>
    </xf>
    <xf numFmtId="0" fontId="0" fillId="6" borderId="9" xfId="0" applyFont="1" applyFill="1" applyBorder="1" applyAlignment="1" applyProtection="1">
      <alignment horizontal="left"/>
    </xf>
    <xf numFmtId="14" fontId="0" fillId="6" borderId="0" xfId="0" applyNumberFormat="1" applyFont="1" applyFill="1" applyBorder="1" applyAlignment="1" applyProtection="1">
      <alignment horizontal="left"/>
    </xf>
    <xf numFmtId="14" fontId="0" fillId="6" borderId="11" xfId="0" applyNumberFormat="1" applyFont="1" applyFill="1" applyBorder="1" applyAlignment="1" applyProtection="1">
      <alignment horizontal="left"/>
    </xf>
    <xf numFmtId="0" fontId="0" fillId="6" borderId="11" xfId="0" applyFont="1" applyFill="1" applyBorder="1" applyAlignment="1" applyProtection="1">
      <alignment horizontal="left"/>
    </xf>
    <xf numFmtId="0" fontId="0" fillId="6" borderId="12" xfId="0" applyFont="1" applyFill="1" applyBorder="1" applyAlignment="1" applyProtection="1">
      <alignment horizontal="left"/>
    </xf>
    <xf numFmtId="49" fontId="0" fillId="6" borderId="3" xfId="0" applyNumberFormat="1" applyFont="1" applyFill="1" applyBorder="1" applyAlignment="1" applyProtection="1">
      <alignment horizontal="left"/>
    </xf>
    <xf numFmtId="49" fontId="0" fillId="6" borderId="0" xfId="0" applyNumberFormat="1" applyFont="1" applyFill="1" applyBorder="1" applyProtection="1"/>
    <xf numFmtId="49" fontId="0" fillId="6" borderId="3" xfId="0" applyNumberFormat="1" applyFont="1" applyFill="1" applyBorder="1" applyProtection="1"/>
    <xf numFmtId="0" fontId="0" fillId="3" borderId="2" xfId="0" applyFill="1" applyBorder="1" applyAlignment="1" applyProtection="1">
      <alignment horizontal="left"/>
      <protection locked="0"/>
    </xf>
    <xf numFmtId="0" fontId="0" fillId="3" borderId="0" xfId="0" applyFill="1" applyBorder="1" applyAlignment="1" applyProtection="1">
      <alignment horizontal="left"/>
      <protection locked="0"/>
    </xf>
    <xf numFmtId="0" fontId="0" fillId="3" borderId="11" xfId="0" applyFill="1" applyBorder="1" applyAlignment="1" applyProtection="1">
      <alignment horizontal="left"/>
      <protection locked="0"/>
    </xf>
    <xf numFmtId="0" fontId="0" fillId="2" borderId="7" xfId="0" applyFill="1" applyBorder="1" applyProtection="1"/>
    <xf numFmtId="0" fontId="0" fillId="2" borderId="8" xfId="0" applyFill="1" applyBorder="1" applyProtection="1"/>
    <xf numFmtId="0" fontId="0" fillId="2" borderId="9" xfId="0" applyFill="1" applyBorder="1" applyProtection="1"/>
    <xf numFmtId="0" fontId="0" fillId="2" borderId="2" xfId="0" applyFill="1" applyBorder="1" applyProtection="1"/>
    <xf numFmtId="0" fontId="0" fillId="2" borderId="0" xfId="0" applyFill="1" applyBorder="1" applyProtection="1"/>
    <xf numFmtId="0" fontId="0" fillId="2" borderId="11" xfId="0" applyFill="1" applyBorder="1" applyProtection="1"/>
    <xf numFmtId="0" fontId="0" fillId="2" borderId="10" xfId="0" applyFill="1" applyBorder="1" applyProtection="1"/>
    <xf numFmtId="0" fontId="0" fillId="2" borderId="3" xfId="0" applyFill="1" applyBorder="1" applyProtection="1"/>
    <xf numFmtId="0" fontId="0" fillId="2" borderId="12" xfId="0" applyFill="1" applyBorder="1" applyProtection="1"/>
    <xf numFmtId="0" fontId="0" fillId="3" borderId="15" xfId="0" applyFill="1" applyBorder="1" applyProtection="1">
      <protection locked="0"/>
    </xf>
    <xf numFmtId="0" fontId="0" fillId="3" borderId="13" xfId="0" applyFill="1" applyBorder="1" applyAlignment="1" applyProtection="1">
      <alignment horizontal="center"/>
      <protection locked="0"/>
    </xf>
    <xf numFmtId="0" fontId="0" fillId="3" borderId="15" xfId="0" applyFill="1" applyBorder="1" applyAlignment="1" applyProtection="1">
      <alignment horizontal="center"/>
      <protection locked="0"/>
    </xf>
    <xf numFmtId="0" fontId="0" fillId="3" borderId="14" xfId="0" applyFill="1" applyBorder="1" applyAlignment="1" applyProtection="1">
      <alignment horizontal="center"/>
      <protection locked="0"/>
    </xf>
    <xf numFmtId="0" fontId="0" fillId="3" borderId="2" xfId="0" applyFill="1" applyBorder="1" applyAlignment="1" applyProtection="1">
      <alignment vertical="top" wrapText="1"/>
      <protection locked="0"/>
    </xf>
    <xf numFmtId="0" fontId="0" fillId="3" borderId="0" xfId="0" applyFill="1" applyBorder="1" applyAlignment="1" applyProtection="1">
      <alignment vertical="top" wrapText="1"/>
      <protection locked="0"/>
    </xf>
    <xf numFmtId="0" fontId="0" fillId="3" borderId="11" xfId="0" applyFill="1" applyBorder="1" applyAlignment="1" applyProtection="1">
      <alignment vertical="top" wrapText="1"/>
      <protection locked="0"/>
    </xf>
    <xf numFmtId="0" fontId="9" fillId="3" borderId="2" xfId="0" applyFont="1" applyFill="1" applyBorder="1" applyAlignment="1" applyProtection="1">
      <alignment vertical="top" wrapText="1"/>
      <protection locked="0"/>
    </xf>
    <xf numFmtId="0" fontId="9" fillId="3" borderId="0" xfId="0" applyFont="1" applyFill="1" applyBorder="1" applyAlignment="1" applyProtection="1">
      <alignment vertical="top" wrapText="1"/>
      <protection locked="0"/>
    </xf>
    <xf numFmtId="0" fontId="9" fillId="3" borderId="11" xfId="0" applyFont="1" applyFill="1" applyBorder="1" applyAlignment="1" applyProtection="1">
      <alignment vertical="top" wrapText="1"/>
      <protection locked="0"/>
    </xf>
    <xf numFmtId="0" fontId="0" fillId="3" borderId="7" xfId="0" applyFill="1" applyBorder="1" applyAlignment="1" applyProtection="1">
      <alignment horizontal="left"/>
      <protection locked="0"/>
    </xf>
    <xf numFmtId="0" fontId="0" fillId="3" borderId="8" xfId="0" applyFill="1" applyBorder="1" applyAlignment="1" applyProtection="1">
      <alignment horizontal="left"/>
      <protection locked="0"/>
    </xf>
    <xf numFmtId="0" fontId="0" fillId="3" borderId="9" xfId="0" applyFill="1" applyBorder="1" applyAlignment="1" applyProtection="1">
      <alignment horizontal="left"/>
      <protection locked="0"/>
    </xf>
    <xf numFmtId="0" fontId="0" fillId="3" borderId="10" xfId="0" applyFill="1" applyBorder="1" applyAlignment="1" applyProtection="1">
      <alignment horizontal="left"/>
      <protection locked="0"/>
    </xf>
    <xf numFmtId="0" fontId="0" fillId="3" borderId="3" xfId="0" applyFill="1" applyBorder="1" applyAlignment="1" applyProtection="1">
      <alignment horizontal="left"/>
      <protection locked="0"/>
    </xf>
    <xf numFmtId="0" fontId="0" fillId="3" borderId="12" xfId="0" applyFill="1" applyBorder="1" applyAlignment="1" applyProtection="1">
      <alignment horizontal="left"/>
      <protection locked="0"/>
    </xf>
    <xf numFmtId="0" fontId="0" fillId="3" borderId="10" xfId="0" applyFill="1" applyBorder="1" applyAlignment="1" applyProtection="1">
      <alignment horizontal="left" vertical="top" wrapText="1"/>
      <protection locked="0"/>
    </xf>
    <xf numFmtId="0" fontId="0" fillId="3" borderId="3" xfId="0" applyFill="1" applyBorder="1" applyAlignment="1" applyProtection="1">
      <alignment horizontal="left" vertical="top" wrapText="1"/>
      <protection locked="0"/>
    </xf>
    <xf numFmtId="0" fontId="0" fillId="3" borderId="12" xfId="0" applyFill="1" applyBorder="1" applyAlignment="1" applyProtection="1">
      <alignment horizontal="left" vertical="top" wrapText="1"/>
      <protection locked="0"/>
    </xf>
    <xf numFmtId="0" fontId="0" fillId="3" borderId="13" xfId="0" applyFill="1" applyBorder="1" applyAlignment="1" applyProtection="1">
      <alignment horizontal="left"/>
      <protection locked="0"/>
    </xf>
    <xf numFmtId="0" fontId="0" fillId="3" borderId="15" xfId="0" applyFill="1" applyBorder="1" applyAlignment="1" applyProtection="1">
      <alignment horizontal="left"/>
      <protection locked="0"/>
    </xf>
    <xf numFmtId="0" fontId="0" fillId="3" borderId="14" xfId="0" applyFill="1" applyBorder="1" applyAlignment="1" applyProtection="1">
      <alignment horizontal="left"/>
      <protection locked="0"/>
    </xf>
    <xf numFmtId="0" fontId="0" fillId="2" borderId="13" xfId="0" applyFill="1" applyBorder="1" applyAlignment="1" applyProtection="1">
      <alignment horizontal="center"/>
    </xf>
    <xf numFmtId="0" fontId="0" fillId="2" borderId="15" xfId="0" applyFill="1" applyBorder="1" applyAlignment="1" applyProtection="1">
      <alignment horizontal="center"/>
    </xf>
    <xf numFmtId="0" fontId="0" fillId="2" borderId="14" xfId="0" applyFill="1" applyBorder="1" applyAlignment="1" applyProtection="1">
      <alignment horizontal="center"/>
    </xf>
    <xf numFmtId="0" fontId="12" fillId="0" borderId="13" xfId="0" applyFont="1" applyBorder="1" applyAlignment="1" applyProtection="1">
      <alignment horizontal="left" vertical="center"/>
    </xf>
    <xf numFmtId="0" fontId="12" fillId="0" borderId="15" xfId="0" applyFont="1" applyBorder="1" applyAlignment="1" applyProtection="1">
      <alignment horizontal="left" vertical="center"/>
    </xf>
    <xf numFmtId="0" fontId="12" fillId="0" borderId="14" xfId="0" applyFont="1" applyBorder="1" applyAlignment="1" applyProtection="1">
      <alignment horizontal="left" vertical="center"/>
    </xf>
    <xf numFmtId="0" fontId="13" fillId="0" borderId="13" xfId="0" applyFont="1" applyBorder="1" applyAlignment="1" applyProtection="1">
      <alignment horizontal="left" vertical="center"/>
    </xf>
    <xf numFmtId="0" fontId="13" fillId="0" borderId="15" xfId="0" applyFont="1" applyBorder="1" applyAlignment="1" applyProtection="1">
      <alignment horizontal="left" vertical="center"/>
    </xf>
    <xf numFmtId="0" fontId="13" fillId="0" borderId="14" xfId="0" applyFont="1" applyBorder="1" applyAlignment="1" applyProtection="1">
      <alignment horizontal="left" vertical="center"/>
    </xf>
    <xf numFmtId="0" fontId="0" fillId="0" borderId="14" xfId="0" applyBorder="1" applyProtection="1"/>
    <xf numFmtId="0" fontId="12" fillId="3" borderId="13" xfId="0" applyFont="1" applyFill="1" applyBorder="1" applyAlignment="1" applyProtection="1">
      <alignment vertical="center"/>
      <protection locked="0"/>
    </xf>
    <xf numFmtId="0" fontId="12" fillId="3" borderId="15" xfId="0" applyFont="1" applyFill="1" applyBorder="1" applyAlignment="1" applyProtection="1">
      <alignment vertical="center"/>
      <protection locked="0"/>
    </xf>
    <xf numFmtId="0" fontId="12" fillId="3" borderId="14" xfId="0" applyFont="1" applyFill="1" applyBorder="1" applyAlignment="1" applyProtection="1">
      <alignment vertical="center"/>
      <protection locked="0"/>
    </xf>
    <xf numFmtId="0" fontId="12" fillId="0" borderId="13" xfId="0" applyFont="1" applyBorder="1" applyAlignment="1" applyProtection="1">
      <alignment vertical="center"/>
    </xf>
    <xf numFmtId="0" fontId="12" fillId="0" borderId="15" xfId="0" applyFont="1" applyBorder="1" applyAlignment="1" applyProtection="1">
      <alignment vertical="center"/>
    </xf>
    <xf numFmtId="0" fontId="12" fillId="0" borderId="14" xfId="0" applyFont="1" applyBorder="1" applyAlignment="1" applyProtection="1">
      <alignment vertical="center"/>
    </xf>
    <xf numFmtId="0" fontId="12" fillId="3" borderId="13" xfId="0" applyFont="1" applyFill="1" applyBorder="1" applyAlignment="1" applyProtection="1">
      <alignment horizontal="left" vertical="center"/>
      <protection locked="0"/>
    </xf>
    <xf numFmtId="0" fontId="12" fillId="3" borderId="15" xfId="0" applyFont="1" applyFill="1" applyBorder="1" applyAlignment="1" applyProtection="1">
      <alignment horizontal="left" vertical="center"/>
      <protection locked="0"/>
    </xf>
    <xf numFmtId="0" fontId="12" fillId="3" borderId="14" xfId="0" applyFont="1" applyFill="1" applyBorder="1" applyAlignment="1" applyProtection="1">
      <alignment horizontal="left" vertical="center"/>
      <protection locked="0"/>
    </xf>
    <xf numFmtId="0" fontId="1" fillId="0" borderId="3" xfId="0" applyFont="1" applyBorder="1" applyAlignment="1" applyProtection="1">
      <alignment horizontal="center"/>
    </xf>
  </cellXfs>
  <cellStyles count="3">
    <cellStyle name="Bemærk!" xfId="2" builtinId="10"/>
    <cellStyle name="Link" xfId="1" builtinId="8"/>
    <cellStyle name="Normal" xfId="0" builtinId="0"/>
  </cellStyles>
  <dxfs count="185">
    <dxf>
      <font>
        <color theme="0"/>
      </font>
      <fill>
        <patternFill>
          <bgColor theme="0" tint="-4.9989318521683403E-2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 tint="-4.9989318521683403E-2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 patternType="solid">
          <bgColor theme="0" tint="-4.9989318521683403E-2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 patternType="solid">
          <bgColor theme="0" tint="-4.9989318521683403E-2"/>
        </patternFill>
      </fill>
      <border>
        <left style="thin">
          <color auto="1"/>
        </left>
        <right/>
        <top/>
        <bottom/>
        <vertical/>
        <horizontal/>
      </border>
    </dxf>
    <dxf>
      <font>
        <color theme="0"/>
      </font>
      <fill>
        <patternFill patternType="solid">
          <bgColor theme="0" tint="-4.9989318521683403E-2"/>
        </patternFill>
      </fill>
      <border>
        <left/>
        <right style="thin">
          <color auto="1"/>
        </right>
        <top/>
        <bottom style="thin">
          <color auto="1"/>
        </bottom>
        <vertical/>
        <horizontal/>
      </border>
    </dxf>
    <dxf>
      <font>
        <color theme="0"/>
      </font>
      <fill>
        <patternFill patternType="solid">
          <bgColor theme="0" tint="-4.9989318521683403E-2"/>
        </patternFill>
      </fill>
      <border>
        <left style="thin">
          <color auto="1"/>
        </left>
        <right/>
        <top/>
        <bottom/>
      </border>
    </dxf>
    <dxf>
      <font>
        <color theme="0"/>
      </font>
      <fill>
        <patternFill>
          <bgColor theme="0" tint="-4.9989318521683403E-2"/>
        </patternFill>
      </fill>
      <border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color theme="0"/>
      </font>
      <fill>
        <patternFill>
          <bgColor theme="0" tint="-4.9989318521683403E-2"/>
        </patternFill>
      </fill>
      <border>
        <left style="thin">
          <color auto="1"/>
        </left>
        <right/>
        <top/>
        <bottom style="thin">
          <color auto="1"/>
        </bottom>
        <vertical/>
        <horizontal/>
      </border>
    </dxf>
    <dxf>
      <fill>
        <patternFill>
          <bgColor rgb="FFCCFFCC"/>
        </patternFill>
      </fill>
    </dxf>
    <dxf>
      <fill>
        <patternFill>
          <bgColor rgb="FFFF7C80"/>
        </patternFill>
      </fill>
    </dxf>
    <dxf>
      <fill>
        <patternFill>
          <bgColor rgb="FFCCFFCC"/>
        </patternFill>
      </fill>
    </dxf>
    <dxf>
      <fill>
        <patternFill>
          <bgColor rgb="FFFF7C80"/>
        </patternFill>
      </fill>
    </dxf>
    <dxf>
      <fill>
        <patternFill>
          <bgColor theme="9" tint="0.79998168889431442"/>
        </patternFill>
      </fill>
    </dxf>
    <dxf>
      <fill>
        <patternFill>
          <bgColor rgb="FFCCFFCC"/>
        </patternFill>
      </fill>
    </dxf>
    <dxf>
      <fill>
        <patternFill>
          <bgColor rgb="FFFF7C80"/>
        </patternFill>
      </fill>
    </dxf>
    <dxf>
      <fill>
        <patternFill>
          <bgColor rgb="FFCCFFCC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CCFFCC"/>
        </patternFill>
      </fill>
    </dxf>
    <dxf>
      <fill>
        <patternFill>
          <bgColor rgb="FFFF7C80"/>
        </patternFill>
      </fill>
    </dxf>
    <dxf>
      <fill>
        <patternFill>
          <bgColor rgb="FFCCFFCC"/>
        </patternFill>
      </fill>
    </dxf>
    <dxf>
      <fill>
        <patternFill>
          <bgColor rgb="FFFF7C80"/>
        </patternFill>
      </fill>
    </dxf>
    <dxf>
      <fill>
        <patternFill>
          <bgColor rgb="FFCCFFCC"/>
        </patternFill>
      </fill>
    </dxf>
    <dxf>
      <fill>
        <patternFill>
          <bgColor rgb="FFFF7C80"/>
        </patternFill>
      </fill>
    </dxf>
    <dxf>
      <fill>
        <patternFill>
          <bgColor rgb="FFCCFFCC"/>
        </patternFill>
      </fill>
    </dxf>
    <dxf>
      <fill>
        <patternFill>
          <bgColor rgb="FFFF7C80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theme="5" tint="0.39994506668294322"/>
        </patternFill>
      </fill>
    </dxf>
    <dxf>
      <fill>
        <patternFill>
          <bgColor rgb="FFCCFFCC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theme="5" tint="0.59996337778862885"/>
        </patternFill>
      </fill>
    </dxf>
    <dxf>
      <fill>
        <patternFill>
          <bgColor rgb="FFFF7C80"/>
        </patternFill>
      </fill>
    </dxf>
    <dxf>
      <fill>
        <patternFill>
          <bgColor rgb="FFCCFFCC"/>
        </patternFill>
      </fill>
    </dxf>
    <dxf>
      <fill>
        <patternFill>
          <bgColor rgb="FFFF7C80"/>
        </patternFill>
      </fill>
    </dxf>
    <dxf>
      <fill>
        <patternFill>
          <bgColor rgb="FFCCFFCC"/>
        </patternFill>
      </fill>
    </dxf>
    <dxf>
      <fill>
        <patternFill>
          <bgColor theme="5" tint="0.59996337778862885"/>
        </patternFill>
      </fill>
    </dxf>
    <dxf>
      <fill>
        <patternFill>
          <bgColor rgb="FFCCFFCC"/>
        </patternFill>
      </fill>
    </dxf>
    <dxf>
      <fill>
        <patternFill>
          <bgColor theme="5" tint="0.59996337778862885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CCFFCC"/>
        </patternFill>
      </fill>
    </dxf>
    <dxf>
      <fill>
        <patternFill>
          <bgColor theme="9" tint="0.79998168889431442"/>
        </patternFill>
      </fill>
    </dxf>
    <dxf>
      <fill>
        <patternFill>
          <bgColor rgb="FFFF7C80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FF7C80"/>
        </patternFill>
      </fill>
    </dxf>
    <dxf>
      <fill>
        <patternFill>
          <bgColor theme="5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7C80"/>
        </patternFill>
      </fill>
    </dxf>
    <dxf>
      <fill>
        <patternFill>
          <bgColor rgb="FFCCFFCC"/>
        </patternFill>
      </fill>
    </dxf>
    <dxf>
      <fill>
        <patternFill>
          <bgColor rgb="FFFF7C80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FF7C80"/>
        </patternFill>
      </fill>
    </dxf>
    <dxf>
      <fill>
        <patternFill>
          <bgColor theme="5" tint="0.59996337778862885"/>
        </patternFill>
      </fill>
    </dxf>
    <dxf>
      <fill>
        <patternFill>
          <bgColor rgb="FFCCFFCC"/>
        </patternFill>
      </fill>
    </dxf>
    <dxf>
      <fill>
        <patternFill>
          <bgColor theme="5" tint="0.59996337778862885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FF7C80"/>
        </patternFill>
      </fill>
    </dxf>
    <dxf>
      <fill>
        <patternFill>
          <bgColor rgb="FFCCFFCC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CCFFCC"/>
        </patternFill>
      </fill>
    </dxf>
    <dxf>
      <fill>
        <patternFill>
          <bgColor rgb="FFFF7C80"/>
        </patternFill>
      </fill>
    </dxf>
    <dxf>
      <fill>
        <patternFill>
          <bgColor rgb="FFCCFFCC"/>
        </patternFill>
      </fill>
    </dxf>
    <dxf>
      <fill>
        <patternFill>
          <bgColor theme="5" tint="0.59996337778862885"/>
        </patternFill>
      </fill>
    </dxf>
    <dxf>
      <fill>
        <patternFill>
          <bgColor rgb="FFCCFFCC"/>
        </patternFill>
      </fill>
    </dxf>
    <dxf>
      <font>
        <color theme="0"/>
      </font>
      <fill>
        <patternFill>
          <bgColor theme="0" tint="-4.9989318521683403E-2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 tint="-4.9989318521683403E-2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 tint="-4.9989318521683403E-2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 tint="-4.9989318521683403E-2"/>
        </patternFill>
      </fill>
      <border>
        <left/>
        <right/>
        <top/>
        <bottom/>
      </border>
    </dxf>
    <dxf>
      <font>
        <color theme="0"/>
      </font>
      <fill>
        <patternFill>
          <bgColor theme="0" tint="-4.9989318521683403E-2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 tint="-4.9989318521683403E-2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 patternType="solid">
          <bgColor theme="0" tint="-4.9989318521683403E-2"/>
        </patternFill>
      </fill>
      <border>
        <left/>
        <right/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0" tint="-4.9989318521683403E-2"/>
        </patternFill>
      </fill>
      <border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color theme="0"/>
      </font>
      <fill>
        <patternFill>
          <bgColor theme="0" tint="-4.9989318521683403E-2"/>
        </patternFill>
      </fill>
      <border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0" tint="-4.9989318521683403E-2"/>
        </patternFill>
      </fill>
      <border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color theme="0"/>
      </font>
      <fill>
        <patternFill patternType="solid">
          <bgColor theme="0" tint="-4.9989318521683403E-2"/>
        </patternFill>
      </fill>
      <border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ill>
        <patternFill>
          <bgColor rgb="FFFF7C80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CCFFCC"/>
        </patternFill>
      </fill>
    </dxf>
    <dxf>
      <fill>
        <patternFill>
          <bgColor rgb="FFFF7C80"/>
        </patternFill>
      </fill>
    </dxf>
    <dxf>
      <fill>
        <patternFill>
          <bgColor rgb="FFCCFFCC"/>
        </patternFill>
      </fill>
    </dxf>
    <dxf>
      <fill>
        <patternFill>
          <bgColor rgb="FFFF7C80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FF7C80"/>
        </patternFill>
      </fill>
    </dxf>
    <dxf>
      <fill>
        <patternFill>
          <bgColor rgb="FFCCFFCC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FF7C80"/>
        </patternFill>
      </fill>
    </dxf>
    <dxf>
      <fill>
        <patternFill>
          <bgColor rgb="FFCCFFCC"/>
        </patternFill>
      </fill>
    </dxf>
    <dxf>
      <fill>
        <patternFill>
          <bgColor rgb="FFFF7C80"/>
        </patternFill>
      </fill>
    </dxf>
    <dxf>
      <fill>
        <patternFill patternType="lightGray">
          <bgColor theme="0" tint="-4.9989318521683403E-2"/>
        </patternFill>
      </fill>
    </dxf>
    <dxf>
      <fill>
        <patternFill>
          <bgColor rgb="FFCCFFCC"/>
        </patternFill>
      </fill>
    </dxf>
    <dxf>
      <fill>
        <patternFill>
          <bgColor rgb="FFFF7C80"/>
        </patternFill>
      </fill>
    </dxf>
    <dxf>
      <fill>
        <patternFill>
          <bgColor rgb="FFCCFFCC"/>
        </patternFill>
      </fill>
    </dxf>
    <dxf>
      <fill>
        <patternFill>
          <bgColor rgb="FFFF7C80"/>
        </patternFill>
      </fill>
    </dxf>
    <dxf>
      <fill>
        <patternFill>
          <bgColor rgb="FFCCFFCC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FF7C80"/>
        </patternFill>
      </fill>
    </dxf>
    <dxf>
      <fill>
        <patternFill>
          <bgColor rgb="FFCCFFCC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FF7C80"/>
        </patternFill>
      </fill>
    </dxf>
    <dxf>
      <font>
        <color auto="1"/>
      </font>
      <fill>
        <patternFill>
          <bgColor rgb="FFCCFFCC"/>
        </patternFill>
      </fill>
    </dxf>
    <dxf>
      <fill>
        <patternFill>
          <bgColor theme="5" tint="0.39994506668294322"/>
        </patternFill>
      </fill>
    </dxf>
    <dxf>
      <fill>
        <patternFill>
          <bgColor rgb="FFFF7C80"/>
        </patternFill>
      </fill>
    </dxf>
    <dxf>
      <fill>
        <patternFill>
          <bgColor rgb="FFCCFFCC"/>
        </patternFill>
      </fill>
    </dxf>
    <dxf>
      <fill>
        <patternFill patternType="lightGray">
          <bgColor theme="0" tint="-4.9989318521683403E-2"/>
        </patternFill>
      </fill>
    </dxf>
    <dxf>
      <fill>
        <patternFill>
          <bgColor theme="0"/>
        </patternFill>
      </fill>
    </dxf>
    <dxf>
      <font>
        <color theme="0"/>
      </font>
      <fill>
        <patternFill patternType="solid">
          <bgColor theme="0" tint="-4.9989318521683403E-2"/>
        </patternFill>
      </fill>
      <border>
        <left/>
        <right/>
        <top/>
        <bottom/>
      </border>
    </dxf>
    <dxf>
      <font>
        <color theme="0"/>
      </font>
      <fill>
        <patternFill patternType="solid">
          <bgColor theme="0" tint="-4.9989318521683403E-2"/>
        </patternFill>
      </fill>
      <border>
        <left style="thin">
          <color auto="1"/>
        </left>
        <right/>
        <top/>
        <bottom/>
      </border>
    </dxf>
    <dxf>
      <font>
        <color theme="0"/>
      </font>
      <fill>
        <patternFill patternType="solid">
          <bgColor theme="0" tint="-4.9989318521683403E-2"/>
        </patternFill>
      </fill>
      <border>
        <left/>
        <right/>
        <top/>
        <bottom/>
      </border>
    </dxf>
    <dxf>
      <font>
        <color theme="0"/>
      </font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color theme="0"/>
      </font>
      <fill>
        <patternFill patternType="none">
          <bgColor auto="1"/>
        </patternFill>
      </fill>
      <border>
        <left style="thin">
          <color auto="1"/>
        </left>
        <right/>
        <top/>
        <bottom/>
      </border>
    </dxf>
    <dxf>
      <font>
        <color theme="0"/>
      </font>
      <fill>
        <patternFill patternType="solid">
          <bgColor theme="0" tint="-4.9989318521683403E-2"/>
        </patternFill>
      </fill>
      <border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color theme="0"/>
      </font>
      <fill>
        <patternFill patternType="none">
          <bgColor auto="1"/>
        </patternFill>
      </fill>
      <border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color theme="0"/>
      </font>
      <fill>
        <patternFill patternType="solid">
          <bgColor theme="0" tint="-4.9989318521683403E-2"/>
        </patternFill>
      </fill>
      <border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color theme="0"/>
      </font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ill>
        <patternFill>
          <bgColor rgb="FFCCFFCC"/>
        </patternFill>
      </fill>
    </dxf>
    <dxf>
      <fill>
        <patternFill>
          <bgColor rgb="FFFF7C80"/>
        </patternFill>
      </fill>
    </dxf>
    <dxf>
      <fill>
        <patternFill>
          <bgColor theme="5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theme="5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7C80"/>
        </patternFill>
      </fill>
    </dxf>
    <dxf>
      <fill>
        <patternFill>
          <bgColor rgb="FFCCFFCC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ont>
        <color theme="0"/>
      </font>
      <fill>
        <patternFill patternType="solid">
          <bgColor theme="0" tint="-4.9989318521683403E-2"/>
        </patternFill>
      </fill>
      <border>
        <left style="thin">
          <color auto="1"/>
        </left>
        <right/>
        <top/>
        <bottom/>
        <vertical/>
        <horizontal/>
      </border>
    </dxf>
    <dxf>
      <font>
        <color theme="0"/>
      </font>
      <fill>
        <patternFill patternType="solid">
          <bgColor theme="0" tint="-4.9989318521683403E-2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 patternType="solid">
          <bgColor theme="0" tint="-4.9989318521683403E-2"/>
        </patternFill>
      </fill>
      <border>
        <left style="thin">
          <color auto="1"/>
        </left>
        <right/>
        <top/>
        <bottom/>
        <vertical/>
        <horizontal/>
      </border>
    </dxf>
    <dxf>
      <font>
        <color theme="0"/>
      </font>
      <fill>
        <patternFill patternType="solid">
          <bgColor theme="0" tint="-4.9989318521683403E-2"/>
        </patternFill>
      </fill>
      <border>
        <left style="thin">
          <color auto="1"/>
        </left>
        <right/>
        <top/>
        <bottom/>
      </border>
    </dxf>
    <dxf>
      <font>
        <color theme="0"/>
      </font>
      <fill>
        <patternFill patternType="solid">
          <bgColor theme="0" tint="-4.9989318521683403E-2"/>
        </patternFill>
      </fill>
      <border>
        <left style="thin">
          <color auto="1"/>
        </left>
        <right/>
        <top/>
        <bottom/>
        <vertical/>
        <horizontal/>
      </border>
    </dxf>
    <dxf>
      <font>
        <color theme="0"/>
      </font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color theme="0"/>
      </font>
      <fill>
        <patternFill patternType="none">
          <bgColor auto="1"/>
        </patternFill>
      </fill>
      <border>
        <left/>
        <right/>
        <top/>
        <bottom style="thin">
          <color auto="1"/>
        </bottom>
        <vertical/>
        <horizontal/>
      </border>
    </dxf>
    <dxf>
      <font>
        <color theme="0"/>
      </font>
      <fill>
        <patternFill patternType="none">
          <bgColor auto="1"/>
        </patternFill>
      </fill>
      <border>
        <left style="thin">
          <color auto="1"/>
        </left>
        <right/>
        <top/>
        <bottom style="thin">
          <color auto="1"/>
        </bottom>
      </border>
    </dxf>
    <dxf>
      <font>
        <color theme="0"/>
      </font>
      <fill>
        <patternFill patternType="none">
          <bgColor auto="1"/>
        </patternFill>
      </fill>
      <border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color theme="0"/>
      </font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color theme="0"/>
      </font>
      <fill>
        <patternFill patternType="none">
          <fgColor auto="1"/>
          <bgColor auto="1"/>
        </patternFill>
      </fill>
    </dxf>
    <dxf>
      <font>
        <color theme="0"/>
      </font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color theme="0"/>
      </font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ill>
        <patternFill>
          <bgColor rgb="FFCCFFCC"/>
        </patternFill>
      </fill>
    </dxf>
    <dxf>
      <fill>
        <patternFill>
          <bgColor rgb="FFFF7C80"/>
        </patternFill>
      </fill>
    </dxf>
    <dxf>
      <fill>
        <patternFill>
          <bgColor rgb="FFCCFFCC"/>
        </patternFill>
      </fill>
    </dxf>
    <dxf>
      <fill>
        <patternFill>
          <bgColor rgb="FFFFFF00"/>
        </patternFill>
      </fill>
    </dxf>
    <dxf>
      <fill>
        <patternFill>
          <bgColor rgb="FFCCFFCC"/>
        </patternFill>
      </fill>
    </dxf>
    <dxf>
      <fill>
        <patternFill>
          <bgColor rgb="FFFF7C80"/>
        </patternFill>
      </fill>
    </dxf>
    <dxf>
      <fill>
        <patternFill>
          <bgColor rgb="FFCCFFCC"/>
        </patternFill>
      </fill>
    </dxf>
    <dxf>
      <fill>
        <patternFill>
          <bgColor rgb="FFFF7C80"/>
        </patternFill>
      </fill>
    </dxf>
    <dxf>
      <fill>
        <patternFill>
          <bgColor rgb="FFCCFFCC"/>
        </patternFill>
      </fill>
    </dxf>
    <dxf>
      <fill>
        <patternFill>
          <bgColor rgb="FFFF7C80"/>
        </patternFill>
      </fill>
    </dxf>
    <dxf>
      <fill>
        <patternFill>
          <bgColor rgb="FFCCFFCC"/>
        </patternFill>
      </fill>
    </dxf>
    <dxf>
      <fill>
        <patternFill>
          <bgColor rgb="FFFF7C80"/>
        </patternFill>
      </fill>
    </dxf>
    <dxf>
      <fill>
        <patternFill>
          <bgColor rgb="FFCCFFCC"/>
        </patternFill>
      </fill>
    </dxf>
    <dxf>
      <fill>
        <patternFill>
          <bgColor rgb="FFFFFF00"/>
        </patternFill>
      </fill>
    </dxf>
    <dxf>
      <fill>
        <patternFill>
          <bgColor rgb="FFCCFFCC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CCFFCC"/>
      <color rgb="FFCCECFF"/>
      <color rgb="FFFF7C80"/>
      <color rgb="FFFFFFCC"/>
      <color rgb="FFFFCC99"/>
      <color rgb="FFFF5050"/>
      <color rgb="FFFF3300"/>
      <color rgb="FFFF9966"/>
      <color rgb="FFFFFF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4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323850</xdr:colOff>
      <xdr:row>88</xdr:row>
      <xdr:rowOff>114300</xdr:rowOff>
    </xdr:from>
    <xdr:to>
      <xdr:col>12</xdr:col>
      <xdr:colOff>723994</xdr:colOff>
      <xdr:row>100</xdr:row>
      <xdr:rowOff>160616</xdr:rowOff>
    </xdr:to>
    <xdr:pic>
      <xdr:nvPicPr>
        <xdr:cNvPr id="2" name="Billede 1">
          <a:extLst>
            <a:ext uri="{FF2B5EF4-FFF2-40B4-BE49-F238E27FC236}">
              <a16:creationId xmlns:a16="http://schemas.microsoft.com/office/drawing/2014/main" id="{38EF3AF3-A751-C638-E555-45EC4C664F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20050" y="17497425"/>
          <a:ext cx="3343369" cy="2332316"/>
        </a:xfrm>
        <a:prstGeom prst="rect">
          <a:avLst/>
        </a:prstGeom>
      </xdr:spPr>
    </xdr:pic>
    <xdr:clientData/>
  </xdr:twoCellAnchor>
  <xdr:twoCellAnchor editAs="oneCell">
    <xdr:from>
      <xdr:col>4</xdr:col>
      <xdr:colOff>638175</xdr:colOff>
      <xdr:row>88</xdr:row>
      <xdr:rowOff>47624</xdr:rowOff>
    </xdr:from>
    <xdr:to>
      <xdr:col>8</xdr:col>
      <xdr:colOff>20201</xdr:colOff>
      <xdr:row>99</xdr:row>
      <xdr:rowOff>113029</xdr:rowOff>
    </xdr:to>
    <xdr:pic>
      <xdr:nvPicPr>
        <xdr:cNvPr id="3" name="Billede 2">
          <a:extLst>
            <a:ext uri="{FF2B5EF4-FFF2-40B4-BE49-F238E27FC236}">
              <a16:creationId xmlns:a16="http://schemas.microsoft.com/office/drawing/2014/main" id="{0B8DAC04-83FD-011B-74FF-37E08300C6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486275" y="17430749"/>
          <a:ext cx="3230126" cy="2160905"/>
        </a:xfrm>
        <a:prstGeom prst="rect">
          <a:avLst/>
        </a:prstGeom>
      </xdr:spPr>
    </xdr:pic>
    <xdr:clientData/>
  </xdr:twoCellAnchor>
  <xdr:twoCellAnchor editAs="oneCell">
    <xdr:from>
      <xdr:col>1</xdr:col>
      <xdr:colOff>28576</xdr:colOff>
      <xdr:row>88</xdr:row>
      <xdr:rowOff>76200</xdr:rowOff>
    </xdr:from>
    <xdr:to>
      <xdr:col>4</xdr:col>
      <xdr:colOff>292137</xdr:colOff>
      <xdr:row>102</xdr:row>
      <xdr:rowOff>165684</xdr:rowOff>
    </xdr:to>
    <xdr:pic>
      <xdr:nvPicPr>
        <xdr:cNvPr id="4" name="Billede 3">
          <a:extLst>
            <a:ext uri="{FF2B5EF4-FFF2-40B4-BE49-F238E27FC236}">
              <a16:creationId xmlns:a16="http://schemas.microsoft.com/office/drawing/2014/main" id="{58DA36FF-01AB-35E1-D62B-83D87DBC4D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90601" y="17459325"/>
          <a:ext cx="3149636" cy="275648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142875</xdr:colOff>
      <xdr:row>11</xdr:row>
      <xdr:rowOff>171449</xdr:rowOff>
    </xdr:from>
    <xdr:to>
      <xdr:col>17</xdr:col>
      <xdr:colOff>487175</xdr:colOff>
      <xdr:row>21</xdr:row>
      <xdr:rowOff>28574</xdr:rowOff>
    </xdr:to>
    <xdr:pic>
      <xdr:nvPicPr>
        <xdr:cNvPr id="9" name="Billede 8">
          <a:extLst>
            <a:ext uri="{FF2B5EF4-FFF2-40B4-BE49-F238E27FC236}">
              <a16:creationId xmlns:a16="http://schemas.microsoft.com/office/drawing/2014/main" id="{24853DA5-50CD-4804-8567-9490365232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53600" y="2552699"/>
          <a:ext cx="2954150" cy="1762125"/>
        </a:xfrm>
        <a:prstGeom prst="rect">
          <a:avLst/>
        </a:prstGeom>
      </xdr:spPr>
    </xdr:pic>
    <xdr:clientData/>
  </xdr:twoCellAnchor>
  <xdr:twoCellAnchor editAs="oneCell">
    <xdr:from>
      <xdr:col>0</xdr:col>
      <xdr:colOff>104775</xdr:colOff>
      <xdr:row>11</xdr:row>
      <xdr:rowOff>171451</xdr:rowOff>
    </xdr:from>
    <xdr:to>
      <xdr:col>4</xdr:col>
      <xdr:colOff>188398</xdr:colOff>
      <xdr:row>20</xdr:row>
      <xdr:rowOff>161925</xdr:rowOff>
    </xdr:to>
    <xdr:pic>
      <xdr:nvPicPr>
        <xdr:cNvPr id="2" name="Billede 1">
          <a:extLst>
            <a:ext uri="{FF2B5EF4-FFF2-40B4-BE49-F238E27FC236}">
              <a16:creationId xmlns:a16="http://schemas.microsoft.com/office/drawing/2014/main" id="{B28EEDAF-476E-150C-A090-84C805763E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4775" y="2552701"/>
          <a:ext cx="2950648" cy="1704974"/>
        </a:xfrm>
        <a:prstGeom prst="rect">
          <a:avLst/>
        </a:prstGeom>
      </xdr:spPr>
    </xdr:pic>
    <xdr:clientData/>
  </xdr:twoCellAnchor>
  <xdr:twoCellAnchor editAs="oneCell">
    <xdr:from>
      <xdr:col>4</xdr:col>
      <xdr:colOff>466725</xdr:colOff>
      <xdr:row>12</xdr:row>
      <xdr:rowOff>19051</xdr:rowOff>
    </xdr:from>
    <xdr:to>
      <xdr:col>7</xdr:col>
      <xdr:colOff>1576049</xdr:colOff>
      <xdr:row>20</xdr:row>
      <xdr:rowOff>180975</xdr:rowOff>
    </xdr:to>
    <xdr:pic>
      <xdr:nvPicPr>
        <xdr:cNvPr id="4" name="Billede 3">
          <a:extLst>
            <a:ext uri="{FF2B5EF4-FFF2-40B4-BE49-F238E27FC236}">
              <a16:creationId xmlns:a16="http://schemas.microsoft.com/office/drawing/2014/main" id="{B65D0A40-A312-B7AC-5DFD-7B0F1F50DB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333750" y="2590801"/>
          <a:ext cx="2938124" cy="1685924"/>
        </a:xfrm>
        <a:prstGeom prst="rect">
          <a:avLst/>
        </a:prstGeom>
      </xdr:spPr>
    </xdr:pic>
    <xdr:clientData/>
  </xdr:twoCellAnchor>
  <xdr:twoCellAnchor editAs="oneCell">
    <xdr:from>
      <xdr:col>7</xdr:col>
      <xdr:colOff>1819275</xdr:colOff>
      <xdr:row>12</xdr:row>
      <xdr:rowOff>0</xdr:rowOff>
    </xdr:from>
    <xdr:to>
      <xdr:col>12</xdr:col>
      <xdr:colOff>451360</xdr:colOff>
      <xdr:row>20</xdr:row>
      <xdr:rowOff>171450</xdr:rowOff>
    </xdr:to>
    <xdr:pic>
      <xdr:nvPicPr>
        <xdr:cNvPr id="5" name="Billede 4">
          <a:extLst>
            <a:ext uri="{FF2B5EF4-FFF2-40B4-BE49-F238E27FC236}">
              <a16:creationId xmlns:a16="http://schemas.microsoft.com/office/drawing/2014/main" id="{44F973A0-604A-4587-9BAC-4B45A32BEA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515100" y="2571750"/>
          <a:ext cx="2937385" cy="169545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erik.andersen@regionh.dk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R44"/>
  <sheetViews>
    <sheetView tabSelected="1" topLeftCell="A6" zoomScaleNormal="100" workbookViewId="0">
      <selection activeCell="H29" sqref="H29"/>
    </sheetView>
  </sheetViews>
  <sheetFormatPr defaultColWidth="9.109375" defaultRowHeight="14.4" x14ac:dyDescent="0.3"/>
  <cols>
    <col min="1" max="1" width="28" style="184" customWidth="1"/>
    <col min="2" max="2" width="25.33203125" style="184" customWidth="1"/>
    <col min="3" max="3" width="15.6640625" style="184" customWidth="1"/>
    <col min="4" max="4" width="18.44140625" style="184" customWidth="1"/>
    <col min="5" max="5" width="26.109375" style="184" customWidth="1"/>
    <col min="6" max="6" width="24.109375" style="184" customWidth="1"/>
    <col min="7" max="7" width="25.109375" style="184" customWidth="1"/>
    <col min="8" max="11" width="9.109375" style="184"/>
    <col min="12" max="12" width="0" style="184" hidden="1" customWidth="1"/>
    <col min="13" max="16384" width="9.109375" style="184"/>
  </cols>
  <sheetData>
    <row r="1" spans="1:18" ht="18" x14ac:dyDescent="0.35">
      <c r="A1" s="2" t="s">
        <v>0</v>
      </c>
      <c r="B1" s="3"/>
      <c r="C1" s="3"/>
      <c r="D1" s="3"/>
      <c r="E1" s="3"/>
      <c r="F1" s="3"/>
      <c r="G1" s="3"/>
    </row>
    <row r="2" spans="1:18" x14ac:dyDescent="0.3">
      <c r="A2" s="27" t="s">
        <v>1</v>
      </c>
      <c r="B2" s="399" t="str">
        <f>IF($B$9="","",$B$9)</f>
        <v>Region H</v>
      </c>
      <c r="C2" s="399"/>
      <c r="D2" s="30" t="s">
        <v>3</v>
      </c>
      <c r="E2" s="30" t="str">
        <f>IF($F$9="","",$F$9)</f>
        <v>Modtagekontrol</v>
      </c>
      <c r="F2" s="30" t="s">
        <v>461</v>
      </c>
      <c r="G2" s="106" t="str">
        <f>IF($B$14="","",$B$14)</f>
        <v>GE2</v>
      </c>
    </row>
    <row r="3" spans="1:18" x14ac:dyDescent="0.3">
      <c r="A3" s="32" t="s">
        <v>74</v>
      </c>
      <c r="B3" s="400" t="str">
        <f>IF($B$10="","",$B$10)</f>
        <v>HGH Herlev</v>
      </c>
      <c r="C3" s="400"/>
      <c r="D3" s="229" t="s">
        <v>398</v>
      </c>
      <c r="E3" s="35" t="str">
        <f>IF($B$15="","",$B$15)</f>
        <v>C bue</v>
      </c>
      <c r="F3" s="35" t="s">
        <v>6</v>
      </c>
      <c r="G3" s="107">
        <f>IF($F$10="","",$F$10)</f>
        <v>45475</v>
      </c>
    </row>
    <row r="4" spans="1:18" x14ac:dyDescent="0.3">
      <c r="A4" s="37" t="s">
        <v>73</v>
      </c>
      <c r="B4" s="400" t="str">
        <f>IF($B$11="","",$B$11)</f>
        <v>Røntgen</v>
      </c>
      <c r="C4" s="400"/>
      <c r="D4" s="35" t="s">
        <v>5</v>
      </c>
      <c r="E4" s="35" t="str">
        <f>IF($B$17="","",$B$17)</f>
        <v>Fluorostar</v>
      </c>
      <c r="F4" s="35" t="s">
        <v>8</v>
      </c>
      <c r="G4" s="108" t="str">
        <f>IF($F$12="","",$F$12)</f>
        <v>EHA</v>
      </c>
    </row>
    <row r="5" spans="1:18" x14ac:dyDescent="0.3">
      <c r="A5" s="32" t="s">
        <v>9</v>
      </c>
      <c r="B5" s="400" t="str">
        <f>IF($B$12="","",$B$12)</f>
        <v>10</v>
      </c>
      <c r="C5" s="400"/>
      <c r="D5" s="35" t="s">
        <v>7</v>
      </c>
      <c r="E5" s="35" t="str">
        <f>IF($B$18="","",$B$18)</f>
        <v>1</v>
      </c>
      <c r="F5" s="35" t="s">
        <v>11</v>
      </c>
      <c r="G5" s="107">
        <f>IF($F$11="","",$F$11)</f>
        <v>45476</v>
      </c>
    </row>
    <row r="6" spans="1:18" x14ac:dyDescent="0.3">
      <c r="A6" s="8" t="s">
        <v>585</v>
      </c>
      <c r="B6" s="401">
        <f>IF($B$20="","",$B$20)</f>
        <v>3</v>
      </c>
      <c r="C6" s="401"/>
      <c r="D6" s="9" t="s">
        <v>460</v>
      </c>
      <c r="E6" s="9">
        <f>IF($B$19="","",$B$19)</f>
        <v>2</v>
      </c>
      <c r="F6" s="38"/>
      <c r="G6" s="69"/>
    </row>
    <row r="8" spans="1:18" ht="21" x14ac:dyDescent="0.4">
      <c r="A8" s="46" t="s">
        <v>12</v>
      </c>
      <c r="B8" s="1" t="s">
        <v>13</v>
      </c>
      <c r="C8" s="1"/>
      <c r="D8" s="4"/>
      <c r="E8" s="4"/>
      <c r="F8" s="4"/>
      <c r="G8" s="4"/>
      <c r="I8" s="46" t="s">
        <v>738</v>
      </c>
      <c r="J8" s="48"/>
      <c r="K8" s="48"/>
      <c r="L8" s="48"/>
      <c r="M8" s="48"/>
      <c r="N8" s="48"/>
      <c r="O8" s="48"/>
      <c r="P8" s="48"/>
      <c r="Q8" s="48"/>
      <c r="R8" s="48"/>
    </row>
    <row r="9" spans="1:18" x14ac:dyDescent="0.3">
      <c r="A9" s="5" t="s">
        <v>14</v>
      </c>
      <c r="B9" s="391" t="s">
        <v>742</v>
      </c>
      <c r="C9" s="392"/>
      <c r="D9" s="393"/>
      <c r="E9" s="6" t="s">
        <v>21</v>
      </c>
      <c r="F9" s="391" t="s">
        <v>131</v>
      </c>
      <c r="G9" s="393"/>
      <c r="I9" s="359" t="s">
        <v>732</v>
      </c>
      <c r="J9" s="360"/>
      <c r="K9" s="360"/>
      <c r="L9" s="360"/>
      <c r="M9" s="360"/>
      <c r="N9" s="360"/>
      <c r="O9" s="360"/>
      <c r="P9" s="360"/>
      <c r="Q9" s="360"/>
      <c r="R9" s="361"/>
    </row>
    <row r="10" spans="1:18" x14ac:dyDescent="0.3">
      <c r="A10" s="5" t="s">
        <v>75</v>
      </c>
      <c r="B10" s="391" t="s">
        <v>743</v>
      </c>
      <c r="C10" s="392"/>
      <c r="D10" s="393"/>
      <c r="E10" s="6" t="s">
        <v>22</v>
      </c>
      <c r="F10" s="394">
        <v>45475</v>
      </c>
      <c r="G10" s="396"/>
      <c r="I10" s="345" t="s">
        <v>731</v>
      </c>
      <c r="J10" s="346"/>
      <c r="K10" s="346"/>
      <c r="L10" s="346"/>
      <c r="M10" s="346"/>
      <c r="N10" s="346"/>
      <c r="O10" s="346"/>
      <c r="P10" s="346"/>
      <c r="Q10" s="346"/>
      <c r="R10" s="362"/>
    </row>
    <row r="11" spans="1:18" x14ac:dyDescent="0.3">
      <c r="A11" s="5" t="s">
        <v>76</v>
      </c>
      <c r="B11" s="391" t="s">
        <v>399</v>
      </c>
      <c r="C11" s="392"/>
      <c r="D11" s="393"/>
      <c r="E11" s="6" t="s">
        <v>23</v>
      </c>
      <c r="F11" s="394">
        <v>45476</v>
      </c>
      <c r="G11" s="396"/>
      <c r="I11" s="258"/>
      <c r="J11" s="233"/>
      <c r="K11" s="233"/>
      <c r="L11" s="233"/>
      <c r="M11" s="233"/>
      <c r="N11" s="233"/>
      <c r="O11" s="233"/>
      <c r="P11" s="233"/>
      <c r="Q11" s="233"/>
      <c r="R11" s="246"/>
    </row>
    <row r="12" spans="1:18" x14ac:dyDescent="0.3">
      <c r="A12" s="5" t="s">
        <v>15</v>
      </c>
      <c r="B12" s="388" t="s">
        <v>584</v>
      </c>
      <c r="C12" s="389"/>
      <c r="D12" s="390"/>
      <c r="E12" s="6" t="s">
        <v>24</v>
      </c>
      <c r="F12" s="391" t="s">
        <v>403</v>
      </c>
      <c r="G12" s="393"/>
      <c r="I12" s="345" t="s">
        <v>733</v>
      </c>
      <c r="J12" s="346"/>
      <c r="K12" s="346"/>
      <c r="L12" s="346"/>
      <c r="M12" s="346"/>
      <c r="N12" s="346"/>
      <c r="O12" s="346"/>
      <c r="P12" s="346"/>
      <c r="Q12" s="346"/>
      <c r="R12" s="362"/>
    </row>
    <row r="13" spans="1:18" x14ac:dyDescent="0.3">
      <c r="A13" s="6" t="s">
        <v>16</v>
      </c>
      <c r="B13" s="391" t="s">
        <v>400</v>
      </c>
      <c r="C13" s="392"/>
      <c r="D13" s="393"/>
      <c r="E13" s="6" t="s">
        <v>25</v>
      </c>
      <c r="F13" s="388">
        <v>123456</v>
      </c>
      <c r="G13" s="390"/>
      <c r="I13" s="345" t="s">
        <v>734</v>
      </c>
      <c r="J13" s="346"/>
      <c r="K13" s="346"/>
      <c r="L13" s="346"/>
      <c r="M13" s="346"/>
      <c r="N13" s="346"/>
      <c r="O13" s="346"/>
      <c r="P13" s="346"/>
      <c r="Q13" s="346"/>
      <c r="R13" s="362"/>
    </row>
    <row r="14" spans="1:18" x14ac:dyDescent="0.3">
      <c r="A14" s="6" t="s">
        <v>17</v>
      </c>
      <c r="B14" s="391" t="s">
        <v>402</v>
      </c>
      <c r="C14" s="392"/>
      <c r="D14" s="393"/>
      <c r="E14" s="6" t="s">
        <v>26</v>
      </c>
      <c r="F14" s="391"/>
      <c r="G14" s="393"/>
      <c r="I14" s="258"/>
      <c r="J14" s="233"/>
      <c r="K14" s="233"/>
      <c r="L14" s="233"/>
      <c r="M14" s="233"/>
      <c r="N14" s="233"/>
      <c r="O14" s="233"/>
      <c r="P14" s="233"/>
      <c r="Q14" s="233"/>
      <c r="R14" s="246"/>
    </row>
    <row r="15" spans="1:18" x14ac:dyDescent="0.3">
      <c r="A15" s="6" t="s">
        <v>132</v>
      </c>
      <c r="B15" s="391" t="s">
        <v>256</v>
      </c>
      <c r="C15" s="392"/>
      <c r="D15" s="393"/>
      <c r="E15" s="127"/>
      <c r="F15" s="391"/>
      <c r="G15" s="393"/>
      <c r="I15" s="365" t="s">
        <v>739</v>
      </c>
      <c r="J15" s="233"/>
      <c r="K15" s="233"/>
      <c r="L15" s="233"/>
      <c r="M15" s="233"/>
      <c r="N15" s="233"/>
      <c r="O15" s="233"/>
      <c r="P15" s="233"/>
      <c r="Q15" s="233"/>
      <c r="R15" s="246"/>
    </row>
    <row r="16" spans="1:18" x14ac:dyDescent="0.3">
      <c r="A16" s="6" t="s">
        <v>456</v>
      </c>
      <c r="B16" s="391" t="s">
        <v>457</v>
      </c>
      <c r="C16" s="392"/>
      <c r="D16" s="393"/>
      <c r="E16" s="6" t="s">
        <v>27</v>
      </c>
      <c r="F16" s="388">
        <v>4</v>
      </c>
      <c r="G16" s="390"/>
      <c r="I16" s="365" t="s">
        <v>740</v>
      </c>
      <c r="J16" s="233"/>
      <c r="K16" s="233"/>
      <c r="L16" s="233"/>
      <c r="M16" s="233"/>
      <c r="N16" s="233"/>
      <c r="O16" s="233"/>
      <c r="P16" s="233"/>
      <c r="Q16" s="233"/>
      <c r="R16" s="246"/>
    </row>
    <row r="17" spans="1:18" x14ac:dyDescent="0.3">
      <c r="A17" s="6" t="s">
        <v>18</v>
      </c>
      <c r="B17" s="391" t="s">
        <v>401</v>
      </c>
      <c r="C17" s="392"/>
      <c r="D17" s="393"/>
      <c r="E17" s="6" t="s">
        <v>28</v>
      </c>
      <c r="F17" s="391" t="s">
        <v>404</v>
      </c>
      <c r="G17" s="393"/>
      <c r="I17" s="258"/>
      <c r="J17" s="233"/>
      <c r="K17" s="233"/>
      <c r="L17" s="233"/>
      <c r="M17" s="233"/>
      <c r="N17" s="233"/>
      <c r="O17" s="233"/>
      <c r="P17" s="233"/>
      <c r="Q17" s="233"/>
      <c r="R17" s="246"/>
    </row>
    <row r="18" spans="1:18" x14ac:dyDescent="0.3">
      <c r="A18" s="6" t="s">
        <v>19</v>
      </c>
      <c r="B18" s="388" t="s">
        <v>462</v>
      </c>
      <c r="C18" s="389"/>
      <c r="D18" s="390"/>
      <c r="E18" s="366" t="s">
        <v>741</v>
      </c>
      <c r="F18" s="394">
        <v>45292</v>
      </c>
      <c r="G18" s="396"/>
      <c r="I18" s="345" t="s">
        <v>735</v>
      </c>
      <c r="J18" s="233"/>
      <c r="K18" s="233"/>
      <c r="L18" s="233"/>
      <c r="M18" s="233"/>
      <c r="N18" s="233"/>
      <c r="O18" s="233"/>
      <c r="P18" s="233"/>
      <c r="Q18" s="233"/>
      <c r="R18" s="246"/>
    </row>
    <row r="19" spans="1:18" x14ac:dyDescent="0.3">
      <c r="A19" s="140" t="s">
        <v>455</v>
      </c>
      <c r="B19" s="388">
        <v>2</v>
      </c>
      <c r="C19" s="389"/>
      <c r="D19" s="390"/>
      <c r="E19" s="6" t="s">
        <v>29</v>
      </c>
      <c r="F19" s="391" t="s">
        <v>405</v>
      </c>
      <c r="G19" s="393"/>
      <c r="I19" s="345" t="s">
        <v>736</v>
      </c>
      <c r="J19" s="262"/>
      <c r="K19" s="233"/>
      <c r="L19" s="233"/>
      <c r="M19" s="233"/>
      <c r="N19" s="233"/>
      <c r="O19" s="233"/>
      <c r="P19" s="233"/>
      <c r="Q19" s="233"/>
      <c r="R19" s="246"/>
    </row>
    <row r="20" spans="1:18" x14ac:dyDescent="0.3">
      <c r="A20" s="6" t="s">
        <v>585</v>
      </c>
      <c r="B20" s="388">
        <v>3</v>
      </c>
      <c r="C20" s="389"/>
      <c r="D20" s="390"/>
      <c r="E20" s="366" t="s">
        <v>741</v>
      </c>
      <c r="F20" s="394">
        <v>45324</v>
      </c>
      <c r="G20" s="396"/>
      <c r="I20" s="345" t="s">
        <v>737</v>
      </c>
      <c r="J20" s="233"/>
      <c r="K20" s="233"/>
      <c r="L20" s="233"/>
      <c r="M20" s="233"/>
      <c r="N20" s="233"/>
      <c r="O20" s="233"/>
      <c r="P20" s="233"/>
      <c r="Q20" s="233"/>
      <c r="R20" s="246"/>
    </row>
    <row r="21" spans="1:18" x14ac:dyDescent="0.3">
      <c r="A21" s="6" t="s">
        <v>20</v>
      </c>
      <c r="B21" s="394">
        <v>44896</v>
      </c>
      <c r="C21" s="395"/>
      <c r="D21" s="396"/>
      <c r="E21" s="15"/>
      <c r="F21" s="397"/>
      <c r="G21" s="398"/>
      <c r="I21" s="258"/>
      <c r="J21" s="233"/>
      <c r="K21" s="233"/>
      <c r="L21" s="233"/>
      <c r="M21" s="233"/>
      <c r="N21" s="233"/>
      <c r="O21" s="233"/>
      <c r="P21" s="233"/>
      <c r="Q21" s="233"/>
      <c r="R21" s="246"/>
    </row>
    <row r="22" spans="1:18" x14ac:dyDescent="0.3">
      <c r="A22" s="6" t="s">
        <v>459</v>
      </c>
      <c r="B22" s="394">
        <v>45931</v>
      </c>
      <c r="C22" s="395"/>
      <c r="D22" s="396"/>
      <c r="E22" s="15"/>
      <c r="F22" s="397"/>
      <c r="G22" s="398"/>
      <c r="I22" s="365" t="s">
        <v>763</v>
      </c>
      <c r="J22" s="233"/>
      <c r="K22" s="233"/>
      <c r="L22" s="233"/>
      <c r="M22" s="233"/>
      <c r="N22" s="233"/>
      <c r="O22" s="233"/>
      <c r="P22" s="233"/>
      <c r="Q22" s="233"/>
      <c r="R22" s="246"/>
    </row>
    <row r="23" spans="1:18" x14ac:dyDescent="0.3">
      <c r="A23" s="231"/>
      <c r="B23" s="391"/>
      <c r="C23" s="392"/>
      <c r="D23" s="393"/>
      <c r="E23" s="123"/>
      <c r="F23" s="391"/>
      <c r="G23" s="393"/>
      <c r="I23" s="264"/>
      <c r="J23" s="182"/>
      <c r="K23" s="182"/>
      <c r="L23" s="182"/>
      <c r="M23" s="182"/>
      <c r="N23" s="182"/>
      <c r="O23" s="182"/>
      <c r="P23" s="182"/>
      <c r="Q23" s="182"/>
      <c r="R23" s="252"/>
    </row>
    <row r="24" spans="1:18" x14ac:dyDescent="0.3">
      <c r="A24" s="19"/>
      <c r="B24" s="391"/>
      <c r="C24" s="392"/>
      <c r="D24" s="393"/>
      <c r="E24" s="123"/>
      <c r="F24" s="391"/>
      <c r="G24" s="393"/>
    </row>
    <row r="25" spans="1:18" x14ac:dyDescent="0.3">
      <c r="A25" s="19"/>
      <c r="B25" s="391"/>
      <c r="C25" s="392"/>
      <c r="D25" s="393"/>
      <c r="E25" s="123"/>
      <c r="F25" s="391"/>
      <c r="G25" s="393"/>
    </row>
    <row r="26" spans="1:18" x14ac:dyDescent="0.3">
      <c r="A26" s="19"/>
      <c r="B26" s="391"/>
      <c r="C26" s="392"/>
      <c r="D26" s="393"/>
      <c r="E26" s="123"/>
      <c r="F26" s="391"/>
      <c r="G26" s="393"/>
    </row>
    <row r="27" spans="1:18" x14ac:dyDescent="0.3">
      <c r="A27" s="19"/>
      <c r="B27" s="391"/>
      <c r="C27" s="392"/>
      <c r="D27" s="393"/>
      <c r="E27" s="123"/>
      <c r="F27" s="391"/>
      <c r="G27" s="393"/>
    </row>
    <row r="28" spans="1:18" x14ac:dyDescent="0.3">
      <c r="A28" s="7"/>
      <c r="B28" s="7"/>
      <c r="C28" s="7"/>
      <c r="D28" s="7"/>
      <c r="E28" s="7"/>
    </row>
    <row r="29" spans="1:18" x14ac:dyDescent="0.3">
      <c r="A29" s="7"/>
      <c r="B29" s="7"/>
      <c r="C29" s="7"/>
      <c r="D29" s="7"/>
      <c r="E29" s="7"/>
    </row>
    <row r="30" spans="1:18" x14ac:dyDescent="0.3">
      <c r="A30" s="7"/>
      <c r="B30" s="7"/>
      <c r="C30" s="7"/>
      <c r="D30" s="7"/>
      <c r="E30" s="7"/>
    </row>
    <row r="31" spans="1:18" ht="18" x14ac:dyDescent="0.35">
      <c r="A31" s="2" t="s">
        <v>30</v>
      </c>
      <c r="B31" s="3"/>
      <c r="C31" s="3"/>
      <c r="D31" s="3"/>
      <c r="E31" s="3"/>
      <c r="F31" s="3"/>
      <c r="G31" s="3"/>
    </row>
    <row r="32" spans="1:18" x14ac:dyDescent="0.3">
      <c r="A32" s="11" t="s">
        <v>31</v>
      </c>
      <c r="B32" s="336" t="s">
        <v>32</v>
      </c>
      <c r="C32" s="353"/>
      <c r="D32" s="16"/>
      <c r="E32" s="17"/>
      <c r="F32" s="333"/>
      <c r="G32" s="334"/>
    </row>
    <row r="33" spans="1:10" x14ac:dyDescent="0.3">
      <c r="A33" s="11" t="s">
        <v>33</v>
      </c>
      <c r="B33" s="336" t="s">
        <v>730</v>
      </c>
      <c r="C33" s="353"/>
      <c r="D33" s="337"/>
      <c r="E33" s="337"/>
      <c r="F33" s="333"/>
      <c r="G33" s="334"/>
    </row>
    <row r="34" spans="1:10" x14ac:dyDescent="0.3">
      <c r="A34" s="12" t="s">
        <v>34</v>
      </c>
      <c r="B34" s="18" t="s">
        <v>35</v>
      </c>
      <c r="C34" s="17"/>
      <c r="D34" s="337"/>
      <c r="E34" s="337"/>
      <c r="F34" s="333"/>
      <c r="G34" s="334"/>
    </row>
    <row r="35" spans="1:10" x14ac:dyDescent="0.3">
      <c r="A35" s="11"/>
      <c r="B35" s="336"/>
      <c r="C35" s="353"/>
      <c r="D35" s="337"/>
      <c r="E35" s="337"/>
      <c r="F35" s="333"/>
      <c r="G35" s="334"/>
    </row>
    <row r="36" spans="1:10" x14ac:dyDescent="0.3">
      <c r="A36" s="13" t="s">
        <v>36</v>
      </c>
      <c r="B36" s="341" t="s">
        <v>37</v>
      </c>
      <c r="C36" s="349"/>
      <c r="D36" s="342"/>
      <c r="E36" s="342"/>
      <c r="F36" s="342"/>
      <c r="G36" s="343"/>
    </row>
    <row r="37" spans="1:10" x14ac:dyDescent="0.3">
      <c r="A37" s="14" t="s">
        <v>36</v>
      </c>
      <c r="B37" s="341" t="s">
        <v>452</v>
      </c>
      <c r="C37" s="349"/>
      <c r="D37" s="342"/>
      <c r="E37" s="342"/>
      <c r="F37" s="342"/>
      <c r="G37" s="343"/>
      <c r="J37" s="230"/>
    </row>
    <row r="38" spans="1:10" x14ac:dyDescent="0.3">
      <c r="A38" s="373" t="s">
        <v>36</v>
      </c>
      <c r="B38" s="341" t="s">
        <v>453</v>
      </c>
      <c r="C38" s="349"/>
      <c r="D38" s="342"/>
      <c r="E38" s="342"/>
      <c r="F38" s="342"/>
      <c r="G38" s="343"/>
    </row>
    <row r="39" spans="1:10" x14ac:dyDescent="0.3">
      <c r="A39" s="126" t="s">
        <v>36</v>
      </c>
      <c r="B39" s="341" t="s">
        <v>454</v>
      </c>
      <c r="C39" s="349"/>
      <c r="D39" s="342"/>
      <c r="E39" s="342"/>
      <c r="F39" s="342"/>
      <c r="G39" s="343"/>
    </row>
    <row r="40" spans="1:10" x14ac:dyDescent="0.3">
      <c r="A40" s="15" t="s">
        <v>38</v>
      </c>
      <c r="B40" s="341" t="s">
        <v>39</v>
      </c>
      <c r="C40" s="349"/>
      <c r="D40" s="342"/>
      <c r="E40" s="342"/>
      <c r="F40" s="342"/>
      <c r="G40" s="343"/>
    </row>
    <row r="41" spans="1:10" x14ac:dyDescent="0.3">
      <c r="A41" s="15" t="s">
        <v>40</v>
      </c>
      <c r="B41" s="341" t="s">
        <v>41</v>
      </c>
      <c r="C41" s="349"/>
      <c r="D41" s="342"/>
      <c r="E41" s="342"/>
      <c r="F41" s="342"/>
      <c r="G41" s="343"/>
    </row>
    <row r="42" spans="1:10" x14ac:dyDescent="0.3">
      <c r="A42" s="15"/>
      <c r="B42" s="341"/>
      <c r="C42" s="349"/>
      <c r="D42" s="342"/>
      <c r="E42" s="342"/>
      <c r="F42" s="342"/>
      <c r="G42" s="343"/>
    </row>
    <row r="43" spans="1:10" x14ac:dyDescent="0.3">
      <c r="A43" s="15"/>
      <c r="B43" s="341"/>
      <c r="C43" s="349"/>
      <c r="D43" s="342"/>
      <c r="E43" s="342"/>
      <c r="F43" s="342"/>
      <c r="G43" s="343"/>
    </row>
    <row r="44" spans="1:10" x14ac:dyDescent="0.3">
      <c r="A44" s="15"/>
      <c r="B44" s="341"/>
      <c r="C44" s="349"/>
      <c r="D44" s="342"/>
      <c r="E44" s="342"/>
      <c r="F44" s="342"/>
      <c r="G44" s="343"/>
    </row>
  </sheetData>
  <sheetProtection sheet="1" objects="1" scenarios="1"/>
  <mergeCells count="43">
    <mergeCell ref="B2:C2"/>
    <mergeCell ref="B3:C3"/>
    <mergeCell ref="B4:C4"/>
    <mergeCell ref="B5:C5"/>
    <mergeCell ref="B6:C6"/>
    <mergeCell ref="F24:G24"/>
    <mergeCell ref="F25:G25"/>
    <mergeCell ref="F26:G26"/>
    <mergeCell ref="F27:G27"/>
    <mergeCell ref="F23:G23"/>
    <mergeCell ref="B26:D26"/>
    <mergeCell ref="B27:D27"/>
    <mergeCell ref="F9:G9"/>
    <mergeCell ref="F10:G10"/>
    <mergeCell ref="F11:G11"/>
    <mergeCell ref="F12:G12"/>
    <mergeCell ref="F13:G13"/>
    <mergeCell ref="F14:G14"/>
    <mergeCell ref="F15:G15"/>
    <mergeCell ref="F16:G16"/>
    <mergeCell ref="F17:G17"/>
    <mergeCell ref="F18:G18"/>
    <mergeCell ref="F19:G19"/>
    <mergeCell ref="F20:G20"/>
    <mergeCell ref="F21:G21"/>
    <mergeCell ref="F22:G22"/>
    <mergeCell ref="B21:D21"/>
    <mergeCell ref="B22:D22"/>
    <mergeCell ref="B23:D23"/>
    <mergeCell ref="B24:D24"/>
    <mergeCell ref="B25:D25"/>
    <mergeCell ref="B9:D9"/>
    <mergeCell ref="B10:D10"/>
    <mergeCell ref="B11:D11"/>
    <mergeCell ref="B12:D12"/>
    <mergeCell ref="B13:D13"/>
    <mergeCell ref="B19:D19"/>
    <mergeCell ref="B20:D20"/>
    <mergeCell ref="B14:D14"/>
    <mergeCell ref="B15:D15"/>
    <mergeCell ref="B16:D16"/>
    <mergeCell ref="B17:D17"/>
    <mergeCell ref="B18:D18"/>
  </mergeCells>
  <hyperlinks>
    <hyperlink ref="B34" r:id="rId1" xr:uid="{00000000-0004-0000-0000-000000000000}"/>
  </hyperlinks>
  <pageMargins left="0.7" right="0.7" top="0.75" bottom="0.75" header="0.3" footer="0.3"/>
  <pageSetup paperSize="9" orientation="portrait"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5CD96406-B7CF-418B-830E-4AAD36A84BF2}">
          <x14:formula1>
            <xm:f>Data!$C$5:$C$7</xm:f>
          </x14:formula1>
          <xm:sqref>F9:G9</xm:sqref>
        </x14:dataValidation>
        <x14:dataValidation type="list" allowBlank="1" showInputMessage="1" showErrorMessage="1" xr:uid="{076447F9-AC3E-4CDA-9C6E-F80CDC403A79}">
          <x14:formula1>
            <xm:f>Data!$F$5:$F$11</xm:f>
          </x14:formula1>
          <xm:sqref>B15:D15</xm:sqref>
        </x14:dataValidation>
        <x14:dataValidation type="list" allowBlank="1" showInputMessage="1" showErrorMessage="1" xr:uid="{A5DC560B-C5A6-421A-9386-259BB99EB93E}">
          <x14:formula1>
            <xm:f>Data!$I$5:$I$8</xm:f>
          </x14:formula1>
          <xm:sqref>B16:D16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W39"/>
  <sheetViews>
    <sheetView zoomScaleNormal="100" workbookViewId="0">
      <selection activeCell="H41" sqref="H41"/>
    </sheetView>
  </sheetViews>
  <sheetFormatPr defaultColWidth="9.109375" defaultRowHeight="14.4" x14ac:dyDescent="0.3"/>
  <cols>
    <col min="1" max="1" width="17.44140625" style="184" customWidth="1"/>
    <col min="2" max="3" width="10" style="184" customWidth="1"/>
    <col min="4" max="4" width="32.33203125" style="184" customWidth="1"/>
    <col min="5" max="5" width="14.5546875" style="184" customWidth="1"/>
    <col min="6" max="6" width="10" style="184" customWidth="1"/>
    <col min="7" max="7" width="19.109375" style="184" customWidth="1"/>
    <col min="8" max="8" width="3.109375" style="184" customWidth="1"/>
    <col min="9" max="14" width="9.109375" style="184"/>
    <col min="15" max="15" width="16.5546875" style="184" customWidth="1"/>
    <col min="16" max="18" width="7" style="184" customWidth="1"/>
    <col min="19" max="16384" width="9.109375" style="184"/>
  </cols>
  <sheetData>
    <row r="1" spans="1:20" x14ac:dyDescent="0.3">
      <c r="A1" s="27" t="s">
        <v>1</v>
      </c>
      <c r="B1" s="28"/>
      <c r="C1" s="28" t="str">
        <f>Oplysningsside!B2</f>
        <v>Region H</v>
      </c>
      <c r="D1" s="29"/>
      <c r="E1" s="28" t="s">
        <v>742</v>
      </c>
      <c r="F1" s="28"/>
      <c r="G1" s="30" t="s">
        <v>3</v>
      </c>
      <c r="H1" s="28"/>
      <c r="I1" s="28" t="str">
        <f>Oplysningsside!E2</f>
        <v>Modtagekontrol</v>
      </c>
      <c r="J1" s="28"/>
      <c r="K1" s="28"/>
      <c r="L1" s="28"/>
      <c r="M1" s="30" t="s">
        <v>4</v>
      </c>
      <c r="N1" s="28"/>
      <c r="O1" s="30" t="str">
        <f>Oplysningsside!G2</f>
        <v>GE2</v>
      </c>
      <c r="P1" s="28"/>
      <c r="Q1" s="28"/>
      <c r="R1" s="31"/>
    </row>
    <row r="2" spans="1:20" x14ac:dyDescent="0.3">
      <c r="A2" s="32" t="s">
        <v>74</v>
      </c>
      <c r="B2" s="33"/>
      <c r="C2" s="33" t="str">
        <f>Oplysningsside!B3</f>
        <v>HGH Herlev</v>
      </c>
      <c r="D2" s="34"/>
      <c r="E2" s="33" t="s">
        <v>743</v>
      </c>
      <c r="F2" s="33"/>
      <c r="G2" s="229" t="s">
        <v>132</v>
      </c>
      <c r="H2" s="229"/>
      <c r="I2" s="33" t="str">
        <f>Oplysningsside!E3</f>
        <v>C bue</v>
      </c>
      <c r="J2" s="33"/>
      <c r="K2" s="33"/>
      <c r="L2" s="33"/>
      <c r="M2" s="35" t="s">
        <v>6</v>
      </c>
      <c r="N2" s="33"/>
      <c r="O2" s="109">
        <f>Oplysningsside!G3</f>
        <v>45475</v>
      </c>
      <c r="P2" s="33"/>
      <c r="Q2" s="33"/>
      <c r="R2" s="36"/>
    </row>
    <row r="3" spans="1:20" x14ac:dyDescent="0.3">
      <c r="A3" s="37" t="s">
        <v>73</v>
      </c>
      <c r="B3" s="33"/>
      <c r="C3" s="33" t="str">
        <f>Oplysningsside!B4</f>
        <v>Røntgen</v>
      </c>
      <c r="D3" s="34"/>
      <c r="E3" s="33" t="s">
        <v>399</v>
      </c>
      <c r="F3" s="33"/>
      <c r="G3" s="35" t="s">
        <v>5</v>
      </c>
      <c r="H3" s="33"/>
      <c r="I3" s="33" t="str">
        <f>Oplysningsside!E4</f>
        <v>Fluorostar</v>
      </c>
      <c r="J3" s="33"/>
      <c r="K3" s="33"/>
      <c r="L3" s="33"/>
      <c r="M3" s="35" t="s">
        <v>8</v>
      </c>
      <c r="N3" s="33"/>
      <c r="O3" s="35" t="str">
        <f>Oplysningsside!G4</f>
        <v>EHA</v>
      </c>
      <c r="P3" s="33"/>
      <c r="Q3" s="33"/>
      <c r="R3" s="36"/>
    </row>
    <row r="4" spans="1:20" x14ac:dyDescent="0.3">
      <c r="A4" s="32" t="s">
        <v>9</v>
      </c>
      <c r="B4" s="33"/>
      <c r="C4" s="128" t="str">
        <f>Oplysningsside!B5</f>
        <v>10</v>
      </c>
      <c r="D4" s="34"/>
      <c r="E4" s="33" t="s">
        <v>584</v>
      </c>
      <c r="F4" s="33"/>
      <c r="G4" s="35" t="s">
        <v>7</v>
      </c>
      <c r="H4" s="33"/>
      <c r="I4" s="130" t="str">
        <f>Oplysningsside!E5</f>
        <v>1</v>
      </c>
      <c r="J4" s="33"/>
      <c r="K4" s="33"/>
      <c r="L4" s="33"/>
      <c r="M4" s="33" t="s">
        <v>11</v>
      </c>
      <c r="N4" s="33"/>
      <c r="O4" s="109">
        <f>Oplysningsside!G5</f>
        <v>45476</v>
      </c>
      <c r="P4" s="33"/>
      <c r="Q4" s="33"/>
      <c r="R4" s="36"/>
    </row>
    <row r="5" spans="1:20" x14ac:dyDescent="0.3">
      <c r="A5" s="8" t="s">
        <v>585</v>
      </c>
      <c r="B5" s="38"/>
      <c r="C5" s="10"/>
      <c r="D5" s="38"/>
      <c r="E5" s="9">
        <v>3</v>
      </c>
      <c r="F5" s="9"/>
      <c r="G5" s="9" t="s">
        <v>10</v>
      </c>
      <c r="H5" s="38"/>
      <c r="I5" s="131">
        <f>Oplysningsside!E6</f>
        <v>2</v>
      </c>
      <c r="J5" s="38"/>
      <c r="K5" s="38"/>
      <c r="L5" s="38"/>
      <c r="M5" s="38"/>
      <c r="N5" s="38"/>
      <c r="O5" s="9"/>
      <c r="P5" s="38"/>
      <c r="Q5" s="38"/>
      <c r="R5" s="39"/>
    </row>
    <row r="6" spans="1:20" x14ac:dyDescent="0.3">
      <c r="A6" s="20"/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</row>
    <row r="7" spans="1:20" ht="25.8" x14ac:dyDescent="0.5">
      <c r="A7" s="40" t="s">
        <v>42</v>
      </c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3" t="s">
        <v>2</v>
      </c>
      <c r="P7" s="41"/>
      <c r="Q7" s="42"/>
      <c r="R7" s="43" t="s">
        <v>2</v>
      </c>
    </row>
    <row r="8" spans="1:20" x14ac:dyDescent="0.3">
      <c r="A8" s="20"/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</row>
    <row r="9" spans="1:20" ht="18" x14ac:dyDescent="0.35">
      <c r="A9" s="21" t="s">
        <v>143</v>
      </c>
      <c r="B9" s="335" t="s">
        <v>208</v>
      </c>
      <c r="C9" s="25"/>
      <c r="D9" s="25"/>
      <c r="E9" s="25"/>
      <c r="F9" s="25"/>
      <c r="G9" s="25"/>
      <c r="H9" s="331" t="s">
        <v>43</v>
      </c>
      <c r="I9" s="22"/>
      <c r="J9" s="23"/>
      <c r="K9" s="23"/>
      <c r="L9" s="23"/>
      <c r="M9" s="23"/>
      <c r="N9" s="23"/>
      <c r="O9" s="23"/>
      <c r="P9" s="23"/>
      <c r="Q9" s="23"/>
      <c r="R9" s="24"/>
      <c r="T9" s="54"/>
    </row>
    <row r="10" spans="1:20" x14ac:dyDescent="0.3">
      <c r="A10" s="387"/>
      <c r="B10" s="408" t="s">
        <v>745</v>
      </c>
      <c r="C10" s="409"/>
      <c r="D10" s="409"/>
      <c r="E10" s="409"/>
      <c r="F10" s="353" t="s">
        <v>471</v>
      </c>
      <c r="G10" s="354"/>
      <c r="H10" s="402"/>
      <c r="I10" s="403"/>
      <c r="J10" s="403"/>
      <c r="K10" s="403"/>
      <c r="L10" s="403"/>
      <c r="M10" s="403"/>
      <c r="N10" s="403"/>
      <c r="O10" s="403"/>
      <c r="P10" s="403"/>
      <c r="Q10" s="403"/>
      <c r="R10" s="404"/>
    </row>
    <row r="11" spans="1:20" x14ac:dyDescent="0.3">
      <c r="A11" s="387"/>
      <c r="B11" s="408" t="s">
        <v>744</v>
      </c>
      <c r="C11" s="409"/>
      <c r="D11" s="409"/>
      <c r="E11" s="409"/>
      <c r="F11" s="353" t="s">
        <v>471</v>
      </c>
      <c r="G11" s="354"/>
      <c r="H11" s="402"/>
      <c r="I11" s="403"/>
      <c r="J11" s="403"/>
      <c r="K11" s="403"/>
      <c r="L11" s="403"/>
      <c r="M11" s="403"/>
      <c r="N11" s="403"/>
      <c r="O11" s="403"/>
      <c r="P11" s="403"/>
      <c r="Q11" s="403"/>
      <c r="R11" s="404"/>
    </row>
    <row r="12" spans="1:20" x14ac:dyDescent="0.3">
      <c r="A12" s="387"/>
      <c r="B12" s="408" t="s">
        <v>324</v>
      </c>
      <c r="C12" s="409"/>
      <c r="D12" s="409"/>
      <c r="E12" s="409"/>
      <c r="F12" s="353"/>
      <c r="G12" s="354"/>
      <c r="H12" s="402"/>
      <c r="I12" s="403"/>
      <c r="J12" s="403"/>
      <c r="K12" s="403"/>
      <c r="L12" s="403"/>
      <c r="M12" s="403"/>
      <c r="N12" s="403"/>
      <c r="O12" s="403"/>
      <c r="P12" s="403"/>
      <c r="Q12" s="403"/>
      <c r="R12" s="404"/>
    </row>
    <row r="13" spans="1:20" x14ac:dyDescent="0.3">
      <c r="A13" s="387"/>
      <c r="B13" s="408" t="s">
        <v>207</v>
      </c>
      <c r="C13" s="409"/>
      <c r="D13" s="409"/>
      <c r="E13" s="409"/>
      <c r="F13" s="353"/>
      <c r="G13" s="354"/>
      <c r="H13" s="402"/>
      <c r="I13" s="403"/>
      <c r="J13" s="403"/>
      <c r="K13" s="403"/>
      <c r="L13" s="403"/>
      <c r="M13" s="403"/>
      <c r="N13" s="403"/>
      <c r="O13" s="403"/>
      <c r="P13" s="403"/>
      <c r="Q13" s="403"/>
      <c r="R13" s="404"/>
    </row>
    <row r="14" spans="1:20" x14ac:dyDescent="0.3">
      <c r="A14" s="387"/>
      <c r="B14" s="408" t="s">
        <v>393</v>
      </c>
      <c r="C14" s="409"/>
      <c r="D14" s="409"/>
      <c r="E14" s="409"/>
      <c r="F14" s="353" t="s">
        <v>471</v>
      </c>
      <c r="G14" s="354"/>
      <c r="H14" s="402"/>
      <c r="I14" s="403"/>
      <c r="J14" s="403"/>
      <c r="K14" s="403"/>
      <c r="L14" s="403"/>
      <c r="M14" s="403"/>
      <c r="N14" s="403"/>
      <c r="O14" s="403"/>
      <c r="P14" s="403"/>
      <c r="Q14" s="403"/>
      <c r="R14" s="404"/>
    </row>
    <row r="15" spans="1:20" x14ac:dyDescent="0.3">
      <c r="A15" s="387"/>
      <c r="B15" s="415"/>
      <c r="C15" s="416"/>
      <c r="D15" s="416"/>
      <c r="E15" s="416"/>
      <c r="F15" s="357"/>
      <c r="G15" s="358"/>
      <c r="H15" s="402"/>
      <c r="I15" s="403"/>
      <c r="J15" s="403"/>
      <c r="K15" s="403"/>
      <c r="L15" s="403"/>
      <c r="M15" s="403"/>
      <c r="N15" s="403"/>
      <c r="O15" s="403"/>
      <c r="P15" s="403"/>
      <c r="Q15" s="403"/>
      <c r="R15" s="404"/>
    </row>
    <row r="16" spans="1:20" ht="18" x14ac:dyDescent="0.35">
      <c r="A16" s="21" t="s">
        <v>143</v>
      </c>
      <c r="B16" s="410" t="s">
        <v>210</v>
      </c>
      <c r="C16" s="411"/>
      <c r="D16" s="411"/>
      <c r="E16" s="411"/>
      <c r="F16" s="411"/>
      <c r="G16" s="412"/>
      <c r="H16" s="405" t="s">
        <v>43</v>
      </c>
      <c r="I16" s="406"/>
      <c r="J16" s="406"/>
      <c r="K16" s="406"/>
      <c r="L16" s="406"/>
      <c r="M16" s="406"/>
      <c r="N16" s="406"/>
      <c r="O16" s="406"/>
      <c r="P16" s="406"/>
      <c r="Q16" s="406"/>
      <c r="R16" s="407"/>
    </row>
    <row r="17" spans="1:20" x14ac:dyDescent="0.3">
      <c r="A17" s="387"/>
      <c r="B17" s="408" t="s">
        <v>211</v>
      </c>
      <c r="C17" s="409"/>
      <c r="D17" s="409"/>
      <c r="E17" s="409"/>
      <c r="F17" s="353"/>
      <c r="G17" s="354"/>
      <c r="H17" s="402"/>
      <c r="I17" s="403"/>
      <c r="J17" s="403"/>
      <c r="K17" s="403"/>
      <c r="L17" s="403"/>
      <c r="M17" s="403"/>
      <c r="N17" s="403"/>
      <c r="O17" s="403"/>
      <c r="P17" s="403"/>
      <c r="Q17" s="403"/>
      <c r="R17" s="404"/>
    </row>
    <row r="18" spans="1:20" x14ac:dyDescent="0.3">
      <c r="A18" s="387"/>
      <c r="B18" s="408" t="s">
        <v>463</v>
      </c>
      <c r="C18" s="409"/>
      <c r="D18" s="409"/>
      <c r="E18" s="409"/>
      <c r="F18" s="353" t="s">
        <v>471</v>
      </c>
      <c r="G18" s="354"/>
      <c r="H18" s="402"/>
      <c r="I18" s="403"/>
      <c r="J18" s="403"/>
      <c r="K18" s="403"/>
      <c r="L18" s="403"/>
      <c r="M18" s="403"/>
      <c r="N18" s="403"/>
      <c r="O18" s="403"/>
      <c r="P18" s="403"/>
      <c r="Q18" s="403"/>
      <c r="R18" s="404"/>
    </row>
    <row r="19" spans="1:20" x14ac:dyDescent="0.3">
      <c r="A19" s="387"/>
      <c r="B19" s="408"/>
      <c r="C19" s="409"/>
      <c r="D19" s="409"/>
      <c r="E19" s="409"/>
      <c r="F19" s="353"/>
      <c r="G19" s="354"/>
      <c r="H19" s="402"/>
      <c r="I19" s="403"/>
      <c r="J19" s="403"/>
      <c r="K19" s="403"/>
      <c r="L19" s="403"/>
      <c r="M19" s="403"/>
      <c r="N19" s="403"/>
      <c r="O19" s="403"/>
      <c r="P19" s="403"/>
      <c r="Q19" s="403"/>
      <c r="R19" s="404"/>
    </row>
    <row r="20" spans="1:20" ht="18" x14ac:dyDescent="0.35">
      <c r="A20" s="21" t="s">
        <v>143</v>
      </c>
      <c r="B20" s="410" t="s">
        <v>327</v>
      </c>
      <c r="C20" s="411"/>
      <c r="D20" s="411"/>
      <c r="E20" s="411"/>
      <c r="F20" s="411"/>
      <c r="G20" s="412"/>
      <c r="H20" s="405" t="s">
        <v>43</v>
      </c>
      <c r="I20" s="406"/>
      <c r="J20" s="406"/>
      <c r="K20" s="406"/>
      <c r="L20" s="406"/>
      <c r="M20" s="406"/>
      <c r="N20" s="406"/>
      <c r="O20" s="406"/>
      <c r="P20" s="406"/>
      <c r="Q20" s="406"/>
      <c r="R20" s="407"/>
    </row>
    <row r="21" spans="1:20" s="47" customFormat="1" ht="15.6" x14ac:dyDescent="0.35">
      <c r="A21" s="387"/>
      <c r="B21" s="417" t="s">
        <v>789</v>
      </c>
      <c r="C21" s="418"/>
      <c r="D21" s="418"/>
      <c r="E21" s="418"/>
      <c r="F21" s="347"/>
      <c r="G21" s="348"/>
      <c r="H21" s="402"/>
      <c r="I21" s="403"/>
      <c r="J21" s="403"/>
      <c r="K21" s="403"/>
      <c r="L21" s="403"/>
      <c r="M21" s="403"/>
      <c r="N21" s="403"/>
      <c r="O21" s="403"/>
      <c r="P21" s="403"/>
      <c r="Q21" s="403"/>
      <c r="R21" s="404"/>
    </row>
    <row r="22" spans="1:20" s="47" customFormat="1" ht="16.5" customHeight="1" x14ac:dyDescent="0.3">
      <c r="A22" s="387"/>
      <c r="B22" s="413" t="s">
        <v>516</v>
      </c>
      <c r="C22" s="414"/>
      <c r="D22" s="414"/>
      <c r="E22" s="414"/>
      <c r="F22" s="351" t="s">
        <v>471</v>
      </c>
      <c r="G22" s="352"/>
      <c r="H22" s="402"/>
      <c r="I22" s="403"/>
      <c r="J22" s="403"/>
      <c r="K22" s="403"/>
      <c r="L22" s="403"/>
      <c r="M22" s="403"/>
      <c r="N22" s="403"/>
      <c r="O22" s="403"/>
      <c r="P22" s="403"/>
      <c r="Q22" s="403"/>
      <c r="R22" s="404"/>
    </row>
    <row r="23" spans="1:20" s="47" customFormat="1" x14ac:dyDescent="0.3">
      <c r="A23" s="387"/>
      <c r="B23" s="419" t="s">
        <v>790</v>
      </c>
      <c r="C23" s="420"/>
      <c r="D23" s="420"/>
      <c r="E23" s="420"/>
      <c r="F23" s="355" t="s">
        <v>471</v>
      </c>
      <c r="G23" s="356"/>
      <c r="H23" s="402"/>
      <c r="I23" s="403"/>
      <c r="J23" s="403"/>
      <c r="K23" s="403"/>
      <c r="L23" s="403"/>
      <c r="M23" s="403"/>
      <c r="N23" s="403"/>
      <c r="O23" s="403"/>
      <c r="P23" s="403"/>
      <c r="Q23" s="403"/>
      <c r="R23" s="404"/>
      <c r="T23" s="232"/>
    </row>
    <row r="24" spans="1:20" s="47" customFormat="1" x14ac:dyDescent="0.3">
      <c r="A24" s="387"/>
      <c r="B24" s="408" t="s">
        <v>529</v>
      </c>
      <c r="C24" s="409"/>
      <c r="D24" s="409"/>
      <c r="E24" s="409"/>
      <c r="F24" s="353"/>
      <c r="G24" s="354"/>
      <c r="H24" s="402"/>
      <c r="I24" s="403"/>
      <c r="J24" s="403"/>
      <c r="K24" s="403"/>
      <c r="L24" s="403"/>
      <c r="M24" s="403"/>
      <c r="N24" s="403"/>
      <c r="O24" s="403"/>
      <c r="P24" s="403"/>
      <c r="Q24" s="403"/>
      <c r="R24" s="404"/>
    </row>
    <row r="25" spans="1:20" s="47" customFormat="1" x14ac:dyDescent="0.3">
      <c r="A25" s="387"/>
      <c r="B25" s="408" t="s">
        <v>464</v>
      </c>
      <c r="C25" s="409"/>
      <c r="D25" s="409"/>
      <c r="E25" s="409"/>
      <c r="F25" s="353" t="s">
        <v>471</v>
      </c>
      <c r="G25" s="354"/>
      <c r="H25" s="402"/>
      <c r="I25" s="403"/>
      <c r="J25" s="403"/>
      <c r="K25" s="403"/>
      <c r="L25" s="403"/>
      <c r="M25" s="403"/>
      <c r="N25" s="403"/>
      <c r="O25" s="403"/>
      <c r="P25" s="403"/>
      <c r="Q25" s="403"/>
      <c r="R25" s="404"/>
    </row>
    <row r="26" spans="1:20" s="47" customFormat="1" x14ac:dyDescent="0.3">
      <c r="A26" s="387"/>
      <c r="B26" s="408"/>
      <c r="C26" s="409"/>
      <c r="D26" s="409"/>
      <c r="E26" s="409"/>
      <c r="F26" s="353"/>
      <c r="G26" s="354"/>
      <c r="H26" s="402"/>
      <c r="I26" s="403"/>
      <c r="J26" s="403"/>
      <c r="K26" s="403"/>
      <c r="L26" s="403"/>
      <c r="M26" s="403"/>
      <c r="N26" s="403"/>
      <c r="O26" s="403"/>
      <c r="P26" s="403"/>
      <c r="Q26" s="403"/>
      <c r="R26" s="404"/>
    </row>
    <row r="27" spans="1:20" ht="18" x14ac:dyDescent="0.35">
      <c r="A27" s="21" t="s">
        <v>143</v>
      </c>
      <c r="B27" s="410" t="s">
        <v>212</v>
      </c>
      <c r="C27" s="411"/>
      <c r="D27" s="411"/>
      <c r="E27" s="411"/>
      <c r="F27" s="411"/>
      <c r="G27" s="412"/>
      <c r="H27" s="405" t="s">
        <v>43</v>
      </c>
      <c r="I27" s="406"/>
      <c r="J27" s="406"/>
      <c r="K27" s="406"/>
      <c r="L27" s="406"/>
      <c r="M27" s="406"/>
      <c r="N27" s="406"/>
      <c r="O27" s="406"/>
      <c r="P27" s="406"/>
      <c r="Q27" s="406"/>
      <c r="R27" s="407"/>
    </row>
    <row r="28" spans="1:20" x14ac:dyDescent="0.3">
      <c r="A28" s="387"/>
      <c r="B28" s="413" t="s">
        <v>388</v>
      </c>
      <c r="C28" s="414"/>
      <c r="D28" s="414"/>
      <c r="E28" s="414"/>
      <c r="F28" s="351"/>
      <c r="G28" s="352"/>
      <c r="H28" s="402"/>
      <c r="I28" s="403"/>
      <c r="J28" s="403"/>
      <c r="K28" s="403"/>
      <c r="L28" s="403"/>
      <c r="M28" s="403"/>
      <c r="N28" s="403"/>
      <c r="O28" s="403"/>
      <c r="P28" s="403"/>
      <c r="Q28" s="403"/>
      <c r="R28" s="404"/>
    </row>
    <row r="29" spans="1:20" x14ac:dyDescent="0.3">
      <c r="A29" s="387"/>
      <c r="B29" s="413" t="s">
        <v>213</v>
      </c>
      <c r="C29" s="414"/>
      <c r="D29" s="414"/>
      <c r="E29" s="414"/>
      <c r="F29" s="351"/>
      <c r="G29" s="352"/>
      <c r="H29" s="402"/>
      <c r="I29" s="403"/>
      <c r="J29" s="403"/>
      <c r="K29" s="403"/>
      <c r="L29" s="403"/>
      <c r="M29" s="403"/>
      <c r="N29" s="403"/>
      <c r="O29" s="403"/>
      <c r="P29" s="403"/>
      <c r="Q29" s="403"/>
      <c r="R29" s="404"/>
    </row>
    <row r="30" spans="1:20" x14ac:dyDescent="0.3">
      <c r="A30" s="387"/>
      <c r="B30" s="413" t="s">
        <v>325</v>
      </c>
      <c r="C30" s="414"/>
      <c r="D30" s="414"/>
      <c r="E30" s="414"/>
      <c r="F30" s="351"/>
      <c r="G30" s="352"/>
      <c r="H30" s="402"/>
      <c r="I30" s="403"/>
      <c r="J30" s="403"/>
      <c r="K30" s="403"/>
      <c r="L30" s="403"/>
      <c r="M30" s="403"/>
      <c r="N30" s="403"/>
      <c r="O30" s="403"/>
      <c r="P30" s="403"/>
      <c r="Q30" s="403"/>
      <c r="R30" s="404"/>
    </row>
    <row r="31" spans="1:20" x14ac:dyDescent="0.3">
      <c r="A31" s="387"/>
      <c r="B31" s="413" t="s">
        <v>447</v>
      </c>
      <c r="C31" s="414"/>
      <c r="D31" s="414"/>
      <c r="E31" s="414"/>
      <c r="F31" s="351"/>
      <c r="G31" s="352"/>
      <c r="H31" s="402"/>
      <c r="I31" s="403"/>
      <c r="J31" s="403"/>
      <c r="K31" s="403"/>
      <c r="L31" s="403"/>
      <c r="M31" s="403"/>
      <c r="N31" s="403"/>
      <c r="O31" s="403"/>
      <c r="P31" s="403"/>
      <c r="Q31" s="403"/>
      <c r="R31" s="404"/>
    </row>
    <row r="32" spans="1:20" x14ac:dyDescent="0.3">
      <c r="A32" s="387"/>
      <c r="B32" s="413" t="s">
        <v>448</v>
      </c>
      <c r="C32" s="414"/>
      <c r="D32" s="414"/>
      <c r="E32" s="414"/>
      <c r="F32" s="351"/>
      <c r="G32" s="352"/>
      <c r="H32" s="402"/>
      <c r="I32" s="403"/>
      <c r="J32" s="403"/>
      <c r="K32" s="403"/>
      <c r="L32" s="403"/>
      <c r="M32" s="403"/>
      <c r="N32" s="403"/>
      <c r="O32" s="403"/>
      <c r="P32" s="403"/>
      <c r="Q32" s="403"/>
      <c r="R32" s="404"/>
    </row>
    <row r="33" spans="1:23" x14ac:dyDescent="0.3">
      <c r="A33" s="387"/>
      <c r="B33" s="413" t="s">
        <v>391</v>
      </c>
      <c r="C33" s="414"/>
      <c r="D33" s="414"/>
      <c r="E33" s="414"/>
      <c r="F33" s="351"/>
      <c r="G33" s="352"/>
      <c r="H33" s="402"/>
      <c r="I33" s="403"/>
      <c r="J33" s="403"/>
      <c r="K33" s="403"/>
      <c r="L33" s="403"/>
      <c r="M33" s="403"/>
      <c r="N33" s="403"/>
      <c r="O33" s="403"/>
      <c r="P33" s="403"/>
      <c r="Q33" s="403"/>
      <c r="R33" s="404"/>
    </row>
    <row r="34" spans="1:23" x14ac:dyDescent="0.3">
      <c r="A34" s="387"/>
      <c r="B34" s="413"/>
      <c r="C34" s="414"/>
      <c r="D34" s="414"/>
      <c r="E34" s="414"/>
      <c r="F34" s="351"/>
      <c r="G34" s="352"/>
      <c r="H34" s="402"/>
      <c r="I34" s="403"/>
      <c r="J34" s="403"/>
      <c r="K34" s="403"/>
      <c r="L34" s="403"/>
      <c r="M34" s="403"/>
      <c r="N34" s="403"/>
      <c r="O34" s="403"/>
      <c r="P34" s="403"/>
      <c r="Q34" s="403"/>
      <c r="R34" s="404"/>
    </row>
    <row r="35" spans="1:23" ht="18" x14ac:dyDescent="0.35">
      <c r="A35" s="21" t="s">
        <v>143</v>
      </c>
      <c r="B35" s="410" t="s">
        <v>214</v>
      </c>
      <c r="C35" s="411"/>
      <c r="D35" s="411"/>
      <c r="E35" s="411"/>
      <c r="F35" s="411"/>
      <c r="G35" s="412"/>
      <c r="H35" s="405" t="s">
        <v>43</v>
      </c>
      <c r="I35" s="406"/>
      <c r="J35" s="406"/>
      <c r="K35" s="406"/>
      <c r="L35" s="406"/>
      <c r="M35" s="406"/>
      <c r="N35" s="406"/>
      <c r="O35" s="406"/>
      <c r="P35" s="406"/>
      <c r="Q35" s="406"/>
      <c r="R35" s="407"/>
      <c r="T35" s="208"/>
    </row>
    <row r="36" spans="1:23" x14ac:dyDescent="0.3">
      <c r="A36" s="387"/>
      <c r="B36" s="421" t="s">
        <v>215</v>
      </c>
      <c r="C36" s="422"/>
      <c r="D36" s="422"/>
      <c r="E36" s="422"/>
      <c r="F36" s="349"/>
      <c r="G36" s="350"/>
      <c r="H36" s="402"/>
      <c r="I36" s="403"/>
      <c r="J36" s="403"/>
      <c r="K36" s="403"/>
      <c r="L36" s="403"/>
      <c r="M36" s="403"/>
      <c r="N36" s="403"/>
      <c r="O36" s="403"/>
      <c r="P36" s="403"/>
      <c r="Q36" s="403"/>
      <c r="R36" s="404"/>
      <c r="T36" s="208"/>
      <c r="U36" s="208"/>
      <c r="V36" s="208"/>
      <c r="W36" s="208"/>
    </row>
    <row r="37" spans="1:23" x14ac:dyDescent="0.3">
      <c r="A37" s="387"/>
      <c r="B37" s="417" t="s">
        <v>216</v>
      </c>
      <c r="C37" s="418"/>
      <c r="D37" s="418"/>
      <c r="E37" s="418"/>
      <c r="F37" s="347"/>
      <c r="G37" s="348"/>
      <c r="H37" s="402"/>
      <c r="I37" s="403"/>
      <c r="J37" s="403"/>
      <c r="K37" s="403"/>
      <c r="L37" s="403"/>
      <c r="M37" s="403"/>
      <c r="N37" s="403"/>
      <c r="O37" s="403"/>
      <c r="P37" s="403"/>
      <c r="Q37" s="403"/>
      <c r="R37" s="404"/>
      <c r="T37" s="208"/>
      <c r="U37" s="208"/>
      <c r="V37" s="208"/>
      <c r="W37" s="208"/>
    </row>
    <row r="38" spans="1:23" x14ac:dyDescent="0.3">
      <c r="A38" s="387"/>
      <c r="B38" s="417" t="s">
        <v>326</v>
      </c>
      <c r="C38" s="418"/>
      <c r="D38" s="418"/>
      <c r="E38" s="418"/>
      <c r="F38" s="347"/>
      <c r="G38" s="348"/>
      <c r="H38" s="402"/>
      <c r="I38" s="403"/>
      <c r="J38" s="403"/>
      <c r="K38" s="403"/>
      <c r="L38" s="403"/>
      <c r="M38" s="403"/>
      <c r="N38" s="403"/>
      <c r="O38" s="403"/>
      <c r="P38" s="403"/>
      <c r="Q38" s="403"/>
      <c r="R38" s="404"/>
      <c r="T38" s="208"/>
      <c r="U38" s="208"/>
      <c r="V38" s="208"/>
      <c r="W38" s="208"/>
    </row>
    <row r="39" spans="1:23" x14ac:dyDescent="0.3">
      <c r="A39" s="387"/>
      <c r="B39" s="421"/>
      <c r="C39" s="422"/>
      <c r="D39" s="422"/>
      <c r="E39" s="422"/>
      <c r="F39" s="349"/>
      <c r="G39" s="350"/>
      <c r="H39" s="402"/>
      <c r="I39" s="403"/>
      <c r="J39" s="403"/>
      <c r="K39" s="403"/>
      <c r="L39" s="403"/>
      <c r="M39" s="403"/>
      <c r="N39" s="403"/>
      <c r="O39" s="403"/>
      <c r="P39" s="403"/>
      <c r="Q39" s="403"/>
      <c r="R39" s="404"/>
      <c r="T39" s="208"/>
      <c r="U39" s="208"/>
      <c r="V39" s="208"/>
      <c r="W39" s="208"/>
    </row>
  </sheetData>
  <sheetProtection sheet="1" objects="1" scenarios="1"/>
  <mergeCells count="60">
    <mergeCell ref="B21:E21"/>
    <mergeCell ref="B22:E22"/>
    <mergeCell ref="B23:E23"/>
    <mergeCell ref="B20:G20"/>
    <mergeCell ref="B39:E39"/>
    <mergeCell ref="B29:E29"/>
    <mergeCell ref="B30:E30"/>
    <mergeCell ref="B31:E31"/>
    <mergeCell ref="B32:E32"/>
    <mergeCell ref="B33:E33"/>
    <mergeCell ref="B35:G35"/>
    <mergeCell ref="B34:E34"/>
    <mergeCell ref="B36:E36"/>
    <mergeCell ref="B37:E37"/>
    <mergeCell ref="B38:E38"/>
    <mergeCell ref="B16:G16"/>
    <mergeCell ref="B10:E10"/>
    <mergeCell ref="B11:E11"/>
    <mergeCell ref="B12:E12"/>
    <mergeCell ref="B13:E13"/>
    <mergeCell ref="B14:E14"/>
    <mergeCell ref="B15:E15"/>
    <mergeCell ref="B17:E17"/>
    <mergeCell ref="H36:R36"/>
    <mergeCell ref="H27:R27"/>
    <mergeCell ref="H28:R28"/>
    <mergeCell ref="H17:R17"/>
    <mergeCell ref="H20:R20"/>
    <mergeCell ref="H21:R21"/>
    <mergeCell ref="H22:R22"/>
    <mergeCell ref="H23:R23"/>
    <mergeCell ref="B27:G27"/>
    <mergeCell ref="B24:E24"/>
    <mergeCell ref="B25:E25"/>
    <mergeCell ref="B26:E26"/>
    <mergeCell ref="B28:E28"/>
    <mergeCell ref="B18:E18"/>
    <mergeCell ref="B19:E19"/>
    <mergeCell ref="H16:R16"/>
    <mergeCell ref="H15:R15"/>
    <mergeCell ref="H24:R24"/>
    <mergeCell ref="H25:R25"/>
    <mergeCell ref="H26:R26"/>
    <mergeCell ref="H18:R18"/>
    <mergeCell ref="H19:R19"/>
    <mergeCell ref="H10:R10"/>
    <mergeCell ref="H11:R11"/>
    <mergeCell ref="H12:R12"/>
    <mergeCell ref="H13:R13"/>
    <mergeCell ref="H14:R14"/>
    <mergeCell ref="H37:R37"/>
    <mergeCell ref="H38:R38"/>
    <mergeCell ref="H39:R39"/>
    <mergeCell ref="H29:R29"/>
    <mergeCell ref="H30:R30"/>
    <mergeCell ref="H31:R31"/>
    <mergeCell ref="H32:R32"/>
    <mergeCell ref="H33:R33"/>
    <mergeCell ref="H34:R34"/>
    <mergeCell ref="H35:R35"/>
  </mergeCells>
  <conditionalFormatting sqref="A10:A15 A17:A19 A21:A26 A28:A34 A36:A39">
    <cfRule type="cellIs" dxfId="184" priority="1" operator="equal">
      <formula>"Kontakt MFE"</formula>
    </cfRule>
    <cfRule type="cellIs" dxfId="183" priority="2" operator="equal">
      <formula>"IKKE OK"</formula>
    </cfRule>
    <cfRule type="cellIs" dxfId="182" priority="3" operator="equal">
      <formula>"OK"</formula>
    </cfRule>
  </conditionalFormatting>
  <pageMargins left="0.7" right="0.7" top="0.75" bottom="0.75" header="0.3" footer="0.3"/>
  <pageSetup paperSize="9" orientation="landscape" r:id="rId1"/>
  <ignoredErrors>
    <ignoredError sqref="O4"/>
  </ignoredError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5DC71A0D-F4C3-437E-9280-4F62436F1532}">
          <x14:formula1>
            <xm:f>Data!$A$10:$A$14</xm:f>
          </x14:formula1>
          <xm:sqref>A28:A34 A11 A22 A19 A17 A24:A26</xm:sqref>
        </x14:dataValidation>
        <x14:dataValidation type="list" allowBlank="1" showInputMessage="1" showErrorMessage="1" xr:uid="{2BA2882F-84FD-4DA6-8886-F4F459D5095F}">
          <x14:formula1>
            <xm:f>Data!$I$18:$I$21</xm:f>
          </x14:formula1>
          <xm:sqref>A10 A12:A15 A18 A21 A23 A36:A39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EA9443-DFE3-4167-B410-D0942E5463EB}">
  <sheetPr>
    <tabColor rgb="FF92D050"/>
  </sheetPr>
  <dimension ref="A1:Q161"/>
  <sheetViews>
    <sheetView zoomScaleNormal="100" workbookViewId="0">
      <selection activeCell="Q20" sqref="Q20"/>
    </sheetView>
  </sheetViews>
  <sheetFormatPr defaultColWidth="9.109375" defaultRowHeight="14.4" x14ac:dyDescent="0.3"/>
  <cols>
    <col min="1" max="15" width="14" style="184" customWidth="1"/>
    <col min="16" max="16384" width="9.109375" style="184"/>
  </cols>
  <sheetData>
    <row r="1" spans="1:16" x14ac:dyDescent="0.3">
      <c r="A1" s="27" t="s">
        <v>1</v>
      </c>
      <c r="B1" s="28"/>
      <c r="C1" s="444" t="str">
        <f>Oplysningsside!B2</f>
        <v>Region H</v>
      </c>
      <c r="D1" s="444"/>
      <c r="E1" s="444"/>
      <c r="F1" s="28"/>
      <c r="G1" s="30" t="s">
        <v>3</v>
      </c>
      <c r="H1" s="28"/>
      <c r="I1" s="399" t="str">
        <f>Oplysningsside!E2</f>
        <v>Modtagekontrol</v>
      </c>
      <c r="J1" s="399"/>
      <c r="K1" s="399"/>
      <c r="L1" s="30" t="s">
        <v>461</v>
      </c>
      <c r="M1" s="28"/>
      <c r="N1" s="399" t="str">
        <f>Oplysningsside!G2</f>
        <v>GE2</v>
      </c>
      <c r="O1" s="448"/>
    </row>
    <row r="2" spans="1:16" x14ac:dyDescent="0.3">
      <c r="A2" s="32" t="s">
        <v>74</v>
      </c>
      <c r="B2" s="33"/>
      <c r="C2" s="445" t="str">
        <f>Oplysningsside!B3</f>
        <v>HGH Herlev</v>
      </c>
      <c r="D2" s="445"/>
      <c r="E2" s="445"/>
      <c r="F2" s="33"/>
      <c r="G2" s="229" t="s">
        <v>132</v>
      </c>
      <c r="H2" s="229"/>
      <c r="I2" s="400" t="str">
        <f>Oplysningsside!E3</f>
        <v>C bue</v>
      </c>
      <c r="J2" s="400"/>
      <c r="K2" s="400"/>
      <c r="L2" s="35" t="s">
        <v>6</v>
      </c>
      <c r="M2" s="33"/>
      <c r="N2" s="449">
        <f>Oplysningsside!G3</f>
        <v>45475</v>
      </c>
      <c r="O2" s="450"/>
    </row>
    <row r="3" spans="1:16" x14ac:dyDescent="0.3">
      <c r="A3" s="37" t="s">
        <v>73</v>
      </c>
      <c r="B3" s="33"/>
      <c r="C3" s="445" t="str">
        <f>Oplysningsside!B4</f>
        <v>Røntgen</v>
      </c>
      <c r="D3" s="445"/>
      <c r="E3" s="445"/>
      <c r="F3" s="33"/>
      <c r="G3" s="35" t="s">
        <v>5</v>
      </c>
      <c r="H3" s="33"/>
      <c r="I3" s="400" t="str">
        <f>Oplysningsside!E4</f>
        <v>Fluorostar</v>
      </c>
      <c r="J3" s="400"/>
      <c r="K3" s="400"/>
      <c r="L3" s="35" t="s">
        <v>8</v>
      </c>
      <c r="M3" s="33"/>
      <c r="N3" s="400" t="str">
        <f>Oplysningsside!G4</f>
        <v>EHA</v>
      </c>
      <c r="O3" s="451"/>
    </row>
    <row r="4" spans="1:16" x14ac:dyDescent="0.3">
      <c r="A4" s="32" t="s">
        <v>9</v>
      </c>
      <c r="B4" s="33"/>
      <c r="C4" s="446" t="str">
        <f>Oplysningsside!B5</f>
        <v>10</v>
      </c>
      <c r="D4" s="446"/>
      <c r="E4" s="446"/>
      <c r="F4" s="33"/>
      <c r="G4" s="35" t="s">
        <v>7</v>
      </c>
      <c r="H4" s="33"/>
      <c r="I4" s="446" t="str">
        <f>Oplysningsside!E5</f>
        <v>1</v>
      </c>
      <c r="J4" s="446"/>
      <c r="K4" s="446"/>
      <c r="L4" s="33" t="s">
        <v>11</v>
      </c>
      <c r="M4" s="33"/>
      <c r="N4" s="449">
        <f>Oplysningsside!G5</f>
        <v>45476</v>
      </c>
      <c r="O4" s="450"/>
    </row>
    <row r="5" spans="1:16" x14ac:dyDescent="0.3">
      <c r="A5" s="8" t="s">
        <v>585</v>
      </c>
      <c r="B5" s="38"/>
      <c r="C5" s="447">
        <f>Oplysningsside!$B$6</f>
        <v>3</v>
      </c>
      <c r="D5" s="447"/>
      <c r="E5" s="447"/>
      <c r="F5" s="38"/>
      <c r="G5" s="9" t="s">
        <v>460</v>
      </c>
      <c r="H5" s="38"/>
      <c r="I5" s="453">
        <f>Oplysningsside!E6</f>
        <v>2</v>
      </c>
      <c r="J5" s="453"/>
      <c r="K5" s="453"/>
      <c r="L5" s="38"/>
      <c r="M5" s="38"/>
      <c r="N5" s="447"/>
      <c r="O5" s="452"/>
    </row>
    <row r="7" spans="1:16" ht="25.8" x14ac:dyDescent="0.5">
      <c r="A7" s="40" t="s">
        <v>208</v>
      </c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3" t="s">
        <v>2</v>
      </c>
      <c r="O7" s="41"/>
    </row>
    <row r="9" spans="1:16" ht="18" x14ac:dyDescent="0.35">
      <c r="A9" s="46" t="s">
        <v>217</v>
      </c>
      <c r="B9" s="48"/>
      <c r="C9" s="48"/>
      <c r="D9" s="48"/>
      <c r="E9" s="141" t="s">
        <v>471</v>
      </c>
      <c r="F9" s="48"/>
      <c r="G9" s="48"/>
      <c r="H9" s="48"/>
      <c r="I9" s="48"/>
      <c r="J9" s="48"/>
      <c r="K9" s="48"/>
      <c r="L9" s="48"/>
      <c r="M9" s="48"/>
      <c r="N9" s="48"/>
      <c r="O9" s="48"/>
      <c r="P9" s="54"/>
    </row>
    <row r="11" spans="1:16" x14ac:dyDescent="0.3">
      <c r="A11" s="49" t="s">
        <v>138</v>
      </c>
      <c r="B11" s="50"/>
      <c r="C11" s="50"/>
      <c r="D11" s="50"/>
      <c r="E11" s="50"/>
      <c r="F11" s="50"/>
      <c r="G11" s="50"/>
      <c r="H11" s="50"/>
      <c r="I11" s="50"/>
      <c r="J11" s="50"/>
      <c r="K11" s="73" t="s">
        <v>96</v>
      </c>
      <c r="L11" s="50"/>
      <c r="M11" s="50"/>
      <c r="N11" s="50"/>
      <c r="O11" s="50"/>
    </row>
    <row r="12" spans="1:16" x14ac:dyDescent="0.3">
      <c r="A12" s="51" t="s">
        <v>44</v>
      </c>
      <c r="B12" s="52" t="s">
        <v>88</v>
      </c>
      <c r="C12" s="52"/>
      <c r="D12" s="52"/>
      <c r="E12" s="52"/>
      <c r="F12" s="52"/>
      <c r="G12" s="52"/>
      <c r="H12" s="52"/>
      <c r="I12" s="52"/>
      <c r="J12" s="52"/>
      <c r="K12" s="432"/>
      <c r="L12" s="433"/>
      <c r="M12" s="433"/>
      <c r="N12" s="433"/>
      <c r="O12" s="434"/>
    </row>
    <row r="13" spans="1:16" x14ac:dyDescent="0.3">
      <c r="A13" s="53" t="s">
        <v>45</v>
      </c>
      <c r="B13" s="54" t="s">
        <v>218</v>
      </c>
      <c r="C13" s="54"/>
      <c r="D13" s="54"/>
      <c r="E13" s="54"/>
      <c r="F13" s="54"/>
      <c r="G13" s="54"/>
      <c r="H13" s="54"/>
      <c r="I13" s="54"/>
      <c r="J13" s="54"/>
      <c r="K13" s="435"/>
      <c r="L13" s="436"/>
      <c r="M13" s="436"/>
      <c r="N13" s="436"/>
      <c r="O13" s="437"/>
    </row>
    <row r="14" spans="1:16" x14ac:dyDescent="0.3">
      <c r="A14" s="53" t="s">
        <v>46</v>
      </c>
      <c r="B14" s="54" t="s">
        <v>746</v>
      </c>
      <c r="C14" s="54"/>
      <c r="D14" s="54"/>
      <c r="E14" s="54"/>
      <c r="F14" s="54"/>
      <c r="G14" s="54"/>
      <c r="H14" s="54"/>
      <c r="I14" s="54"/>
      <c r="J14" s="54"/>
      <c r="K14" s="435"/>
      <c r="L14" s="436"/>
      <c r="M14" s="436"/>
      <c r="N14" s="436"/>
      <c r="O14" s="437"/>
    </row>
    <row r="15" spans="1:16" x14ac:dyDescent="0.3">
      <c r="A15" s="53"/>
      <c r="B15" s="54" t="s">
        <v>589</v>
      </c>
      <c r="C15" s="54"/>
      <c r="D15" s="54"/>
      <c r="E15" s="54"/>
      <c r="F15" s="54"/>
      <c r="G15" s="54"/>
      <c r="H15" s="54"/>
      <c r="I15" s="54"/>
      <c r="J15" s="54"/>
      <c r="K15" s="435"/>
      <c r="L15" s="436"/>
      <c r="M15" s="436"/>
      <c r="N15" s="436"/>
      <c r="O15" s="437"/>
    </row>
    <row r="16" spans="1:16" x14ac:dyDescent="0.3">
      <c r="A16" s="53"/>
      <c r="B16" s="54" t="s">
        <v>747</v>
      </c>
      <c r="C16" s="54"/>
      <c r="D16" s="54"/>
      <c r="E16" s="54"/>
      <c r="F16" s="54"/>
      <c r="G16" s="54"/>
      <c r="H16" s="54"/>
      <c r="I16" s="54"/>
      <c r="J16" s="54"/>
      <c r="K16" s="435"/>
      <c r="L16" s="436"/>
      <c r="M16" s="436"/>
      <c r="N16" s="436"/>
      <c r="O16" s="437"/>
    </row>
    <row r="17" spans="1:16" x14ac:dyDescent="0.3">
      <c r="A17" s="53"/>
      <c r="B17" s="54" t="s">
        <v>748</v>
      </c>
      <c r="C17" s="54"/>
      <c r="D17" s="54"/>
      <c r="E17" s="54"/>
      <c r="F17" s="54"/>
      <c r="G17" s="54"/>
      <c r="H17" s="54"/>
      <c r="I17" s="54"/>
      <c r="J17" s="54"/>
      <c r="K17" s="435"/>
      <c r="L17" s="436"/>
      <c r="M17" s="436"/>
      <c r="N17" s="436"/>
      <c r="O17" s="437"/>
    </row>
    <row r="18" spans="1:16" x14ac:dyDescent="0.3">
      <c r="A18" s="53"/>
      <c r="B18" s="54" t="s">
        <v>751</v>
      </c>
      <c r="C18" s="54"/>
      <c r="D18" s="54"/>
      <c r="E18" s="54"/>
      <c r="F18" s="54"/>
      <c r="G18" s="54"/>
      <c r="H18" s="54"/>
      <c r="I18" s="54"/>
      <c r="J18" s="54"/>
      <c r="K18" s="435"/>
      <c r="L18" s="436"/>
      <c r="M18" s="436"/>
      <c r="N18" s="436"/>
      <c r="O18" s="437"/>
    </row>
    <row r="19" spans="1:16" x14ac:dyDescent="0.3">
      <c r="A19" s="53"/>
      <c r="B19" s="20" t="s">
        <v>791</v>
      </c>
      <c r="C19" s="54"/>
      <c r="D19" s="54"/>
      <c r="E19" s="54"/>
      <c r="F19" s="54"/>
      <c r="G19" s="54"/>
      <c r="H19" s="54"/>
      <c r="I19" s="54"/>
      <c r="J19" s="54"/>
      <c r="K19" s="435"/>
      <c r="L19" s="436"/>
      <c r="M19" s="436"/>
      <c r="N19" s="436"/>
      <c r="O19" s="437"/>
    </row>
    <row r="20" spans="1:16" x14ac:dyDescent="0.3">
      <c r="A20" s="53" t="s">
        <v>220</v>
      </c>
      <c r="B20" s="54" t="s">
        <v>551</v>
      </c>
      <c r="C20" s="54"/>
      <c r="D20" s="54"/>
      <c r="E20" s="54"/>
      <c r="F20" s="54"/>
      <c r="G20" s="54"/>
      <c r="H20" s="54"/>
      <c r="I20" s="54"/>
      <c r="J20" s="54"/>
      <c r="K20" s="435"/>
      <c r="L20" s="436"/>
      <c r="M20" s="436"/>
      <c r="N20" s="436"/>
      <c r="O20" s="437"/>
    </row>
    <row r="21" spans="1:16" x14ac:dyDescent="0.3">
      <c r="A21" s="53" t="s">
        <v>47</v>
      </c>
      <c r="B21" s="54" t="s">
        <v>219</v>
      </c>
      <c r="C21" s="54"/>
      <c r="D21" s="54"/>
      <c r="E21" s="54"/>
      <c r="F21" s="54"/>
      <c r="G21" s="54"/>
      <c r="H21" s="54"/>
      <c r="I21" s="54"/>
      <c r="J21" s="54"/>
      <c r="K21" s="435"/>
      <c r="L21" s="436"/>
      <c r="M21" s="436"/>
      <c r="N21" s="436"/>
      <c r="O21" s="437"/>
    </row>
    <row r="22" spans="1:16" x14ac:dyDescent="0.3">
      <c r="A22" s="55"/>
      <c r="B22" s="182"/>
      <c r="C22" s="77"/>
      <c r="D22" s="77"/>
      <c r="E22" s="77"/>
      <c r="F22" s="77"/>
      <c r="G22" s="77"/>
      <c r="H22" s="77"/>
      <c r="I22" s="77"/>
      <c r="J22" s="77"/>
      <c r="K22" s="429"/>
      <c r="L22" s="430"/>
      <c r="M22" s="430"/>
      <c r="N22" s="430"/>
      <c r="O22" s="431"/>
    </row>
    <row r="23" spans="1:16" x14ac:dyDescent="0.3">
      <c r="A23" s="20"/>
      <c r="B23" s="233"/>
      <c r="C23" s="54"/>
      <c r="D23" s="54"/>
      <c r="E23" s="54"/>
      <c r="F23" s="54"/>
      <c r="G23" s="54"/>
      <c r="H23" s="54"/>
      <c r="I23" s="54"/>
      <c r="J23" s="54"/>
      <c r="K23" s="54"/>
      <c r="L23" s="54"/>
      <c r="M23" s="54"/>
      <c r="N23" s="54"/>
      <c r="O23" s="54"/>
    </row>
    <row r="24" spans="1:16" x14ac:dyDescent="0.3">
      <c r="A24" s="56" t="s">
        <v>139</v>
      </c>
      <c r="B24" s="57"/>
      <c r="C24" s="57"/>
      <c r="D24" s="57"/>
      <c r="E24" s="57"/>
      <c r="F24" s="57"/>
      <c r="G24" s="57"/>
      <c r="H24" s="57"/>
      <c r="I24" s="57"/>
      <c r="J24" s="57"/>
      <c r="K24" s="57"/>
      <c r="L24" s="57"/>
      <c r="M24" s="57"/>
      <c r="N24" s="57"/>
      <c r="O24" s="57"/>
    </row>
    <row r="25" spans="1:16" x14ac:dyDescent="0.3">
      <c r="O25" s="234"/>
      <c r="P25" s="233"/>
    </row>
    <row r="26" spans="1:16" x14ac:dyDescent="0.3">
      <c r="O26" s="233"/>
      <c r="P26" s="233"/>
    </row>
    <row r="27" spans="1:16" x14ac:dyDescent="0.3">
      <c r="A27" s="113"/>
      <c r="B27" s="234" t="s">
        <v>750</v>
      </c>
      <c r="C27" s="234"/>
      <c r="D27" s="234"/>
      <c r="E27" s="234"/>
      <c r="F27" s="237"/>
      <c r="I27" s="113"/>
      <c r="J27" s="234" t="s">
        <v>750</v>
      </c>
      <c r="K27" s="234"/>
      <c r="L27" s="234"/>
      <c r="M27" s="234"/>
      <c r="N27" s="237"/>
      <c r="O27" s="233"/>
      <c r="P27" s="233"/>
    </row>
    <row r="28" spans="1:16" x14ac:dyDescent="0.3">
      <c r="A28" s="213"/>
      <c r="B28" s="182"/>
      <c r="C28" s="182"/>
      <c r="D28" s="182"/>
      <c r="E28" s="182"/>
      <c r="F28" s="252"/>
      <c r="I28" s="213"/>
      <c r="J28" s="182"/>
      <c r="K28" s="182"/>
      <c r="L28" s="182"/>
      <c r="M28" s="182"/>
      <c r="N28" s="252"/>
      <c r="O28" s="233"/>
      <c r="P28" s="233"/>
    </row>
    <row r="29" spans="1:16" x14ac:dyDescent="0.3">
      <c r="A29" s="144" t="s">
        <v>221</v>
      </c>
      <c r="B29" s="234"/>
      <c r="C29" s="234"/>
      <c r="D29" s="234"/>
      <c r="E29" s="234"/>
      <c r="F29" s="235"/>
      <c r="G29" s="343"/>
      <c r="I29" s="236" t="s">
        <v>222</v>
      </c>
      <c r="J29" s="234"/>
      <c r="K29" s="234"/>
      <c r="L29" s="234"/>
      <c r="M29" s="234"/>
      <c r="N29" s="237"/>
      <c r="O29" s="233"/>
    </row>
    <row r="30" spans="1:16" x14ac:dyDescent="0.3">
      <c r="A30" s="58" t="s">
        <v>48</v>
      </c>
      <c r="B30" s="58" t="s">
        <v>90</v>
      </c>
      <c r="C30" s="58" t="s">
        <v>91</v>
      </c>
      <c r="D30" s="58" t="s">
        <v>749</v>
      </c>
      <c r="E30" s="58" t="s">
        <v>57</v>
      </c>
      <c r="F30" s="58" t="s">
        <v>143</v>
      </c>
      <c r="G30" s="58" t="s">
        <v>474</v>
      </c>
      <c r="I30" s="58" t="s">
        <v>48</v>
      </c>
      <c r="J30" s="58" t="s">
        <v>90</v>
      </c>
      <c r="K30" s="58" t="s">
        <v>91</v>
      </c>
      <c r="L30" s="58" t="s">
        <v>749</v>
      </c>
      <c r="M30" s="58" t="s">
        <v>57</v>
      </c>
      <c r="N30" s="58" t="s">
        <v>143</v>
      </c>
      <c r="O30" s="239"/>
    </row>
    <row r="31" spans="1:16" x14ac:dyDescent="0.3">
      <c r="A31" s="59"/>
      <c r="B31" s="59" t="s">
        <v>223</v>
      </c>
      <c r="C31" s="59" t="s">
        <v>351</v>
      </c>
      <c r="D31" s="59" t="s">
        <v>223</v>
      </c>
      <c r="E31" s="59" t="s">
        <v>223</v>
      </c>
      <c r="F31" s="59"/>
      <c r="G31" s="59" t="s">
        <v>477</v>
      </c>
      <c r="I31" s="59"/>
      <c r="J31" s="59" t="s">
        <v>223</v>
      </c>
      <c r="K31" s="59" t="s">
        <v>351</v>
      </c>
      <c r="L31" s="59" t="s">
        <v>223</v>
      </c>
      <c r="M31" s="59" t="s">
        <v>223</v>
      </c>
      <c r="N31" s="59"/>
      <c r="O31" s="47"/>
    </row>
    <row r="32" spans="1:16" x14ac:dyDescent="0.3">
      <c r="A32" s="59"/>
      <c r="B32" s="59" t="s">
        <v>60</v>
      </c>
      <c r="C32" s="59" t="s">
        <v>60</v>
      </c>
      <c r="D32" s="59" t="s">
        <v>60</v>
      </c>
      <c r="E32" s="59" t="s">
        <v>58</v>
      </c>
      <c r="F32" s="60" t="s">
        <v>130</v>
      </c>
      <c r="G32" s="59"/>
      <c r="I32" s="59"/>
      <c r="J32" s="59" t="s">
        <v>60</v>
      </c>
      <c r="K32" s="59" t="s">
        <v>60</v>
      </c>
      <c r="L32" s="59" t="s">
        <v>60</v>
      </c>
      <c r="M32" s="59" t="s">
        <v>58</v>
      </c>
      <c r="N32" s="60" t="s">
        <v>130</v>
      </c>
    </row>
    <row r="33" spans="1:16" x14ac:dyDescent="0.3">
      <c r="A33" s="144">
        <v>1</v>
      </c>
      <c r="B33" s="110"/>
      <c r="C33" s="110"/>
      <c r="D33" s="240" t="str">
        <f>IF(OR($A$27="",C33=""),"",C33+$A$27)</f>
        <v/>
      </c>
      <c r="E33" s="240" t="str">
        <f>IF(OR(B33="",C33="",D33=""),"",ABS(B33-D33)/B33*100)</f>
        <v/>
      </c>
      <c r="F33" s="144" t="str">
        <f>IF(OR(B33="",C33="",D33=""),"",IF(E33&gt;1.5,"IKKE OK","OK"))</f>
        <v/>
      </c>
      <c r="G33" s="110" t="s">
        <v>475</v>
      </c>
      <c r="I33" s="144">
        <v>1</v>
      </c>
      <c r="J33" s="110"/>
      <c r="K33" s="110"/>
      <c r="L33" s="240" t="str">
        <f>IF(OR($I$27="",K33=""),"",K33+$I$27)</f>
        <v/>
      </c>
      <c r="M33" s="240" t="str">
        <f>IF(OR(J33="",K33="",L33=""),"",ABS(J33-L33)/J33*100)</f>
        <v/>
      </c>
      <c r="N33" s="144" t="str">
        <f>IF(OR(J33="",K33="",L33=""),"",IF(M33&gt;1.5,"IKKE OK","OK"))</f>
        <v/>
      </c>
    </row>
    <row r="34" spans="1:16" x14ac:dyDescent="0.3">
      <c r="A34" s="241">
        <v>2</v>
      </c>
      <c r="B34" s="111"/>
      <c r="C34" s="111"/>
      <c r="D34" s="129" t="str">
        <f>IF(OR($A$27="",C34=""),"",C34+$A$27)</f>
        <v/>
      </c>
      <c r="E34" s="129" t="str">
        <f>IF(OR(B34="",C34="",D34=""),"",ABS(B34-D34)/B34*100)</f>
        <v/>
      </c>
      <c r="F34" s="242" t="str">
        <f>IF(OR(B34="",C34="",D34=""),"",IF(E34&gt;1.5,"IKKE OK","OK"))</f>
        <v/>
      </c>
      <c r="G34" s="114" t="s">
        <v>476</v>
      </c>
      <c r="I34" s="242">
        <v>2</v>
      </c>
      <c r="J34" s="111"/>
      <c r="K34" s="111"/>
      <c r="L34" s="129" t="str">
        <f t="shared" ref="L34:L35" si="0">IF(OR($I$27="",K34=""),"",K34+$I$27)</f>
        <v/>
      </c>
      <c r="M34" s="129" t="str">
        <f t="shared" ref="M34:M35" si="1">IF(OR(J34="",K34="",L34=""),"",ABS(J34-L34)/J34*100)</f>
        <v/>
      </c>
      <c r="N34" s="242" t="str">
        <f t="shared" ref="N34:N35" si="2">IF(OR(J34="",K34="",L34=""),"",IF(M34&gt;1.5,"IKKE OK","OK"))</f>
        <v/>
      </c>
    </row>
    <row r="35" spans="1:16" x14ac:dyDescent="0.3">
      <c r="A35" s="243"/>
      <c r="B35" s="243"/>
      <c r="C35" s="243"/>
      <c r="D35" s="243"/>
      <c r="E35" s="138"/>
      <c r="F35" s="243"/>
      <c r="G35" s="243"/>
      <c r="I35" s="145">
        <v>3</v>
      </c>
      <c r="J35" s="112"/>
      <c r="K35" s="112"/>
      <c r="L35" s="138" t="str">
        <f t="shared" si="0"/>
        <v/>
      </c>
      <c r="M35" s="138" t="str">
        <f t="shared" si="1"/>
        <v/>
      </c>
      <c r="N35" s="145" t="str">
        <f t="shared" si="2"/>
        <v/>
      </c>
    </row>
    <row r="38" spans="1:16" ht="18" x14ac:dyDescent="0.35">
      <c r="A38" s="46" t="s">
        <v>209</v>
      </c>
      <c r="B38" s="48"/>
      <c r="C38" s="48"/>
      <c r="D38" s="48"/>
      <c r="E38" s="135" t="s">
        <v>471</v>
      </c>
      <c r="F38" s="48"/>
      <c r="G38" s="48"/>
      <c r="H38" s="48"/>
      <c r="I38" s="48"/>
      <c r="J38" s="48"/>
      <c r="K38" s="48"/>
      <c r="L38" s="48"/>
      <c r="M38" s="48"/>
      <c r="N38" s="48"/>
      <c r="O38" s="48"/>
      <c r="P38" s="54"/>
    </row>
    <row r="40" spans="1:16" x14ac:dyDescent="0.3">
      <c r="A40" s="49" t="s">
        <v>140</v>
      </c>
      <c r="B40" s="50"/>
      <c r="C40" s="50"/>
      <c r="D40" s="50"/>
      <c r="E40" s="50"/>
      <c r="F40" s="50"/>
      <c r="G40" s="50"/>
      <c r="H40" s="50"/>
      <c r="I40" s="50"/>
      <c r="J40" s="50"/>
      <c r="K40" s="73" t="s">
        <v>96</v>
      </c>
      <c r="L40" s="50"/>
      <c r="M40" s="50"/>
      <c r="N40" s="50"/>
      <c r="O40" s="50"/>
    </row>
    <row r="41" spans="1:16" x14ac:dyDescent="0.3">
      <c r="A41" s="51" t="s">
        <v>44</v>
      </c>
      <c r="B41" s="52" t="s">
        <v>72</v>
      </c>
      <c r="C41" s="52"/>
      <c r="D41" s="52"/>
      <c r="E41" s="52"/>
      <c r="F41" s="52"/>
      <c r="G41" s="52"/>
      <c r="H41" s="52"/>
      <c r="I41" s="52"/>
      <c r="J41" s="52"/>
      <c r="K41" s="438"/>
      <c r="L41" s="439"/>
      <c r="M41" s="439"/>
      <c r="N41" s="439"/>
      <c r="O41" s="440"/>
    </row>
    <row r="42" spans="1:16" x14ac:dyDescent="0.3">
      <c r="A42" s="53" t="s">
        <v>45</v>
      </c>
      <c r="B42" s="20" t="s">
        <v>587</v>
      </c>
      <c r="C42" s="54"/>
      <c r="D42" s="54"/>
      <c r="E42" s="54"/>
      <c r="F42" s="54"/>
      <c r="G42" s="54"/>
      <c r="H42" s="54"/>
      <c r="I42" s="54"/>
      <c r="J42" s="54"/>
      <c r="K42" s="423"/>
      <c r="L42" s="424"/>
      <c r="M42" s="424"/>
      <c r="N42" s="424"/>
      <c r="O42" s="425"/>
    </row>
    <row r="43" spans="1:16" x14ac:dyDescent="0.3">
      <c r="A43" s="53" t="s">
        <v>46</v>
      </c>
      <c r="B43" s="363" t="s">
        <v>552</v>
      </c>
      <c r="C43" s="54"/>
      <c r="D43" s="54"/>
      <c r="E43" s="54"/>
      <c r="F43" s="54"/>
      <c r="G43" s="54"/>
      <c r="H43" s="54"/>
      <c r="I43" s="54"/>
      <c r="J43" s="54"/>
      <c r="K43" s="423"/>
      <c r="L43" s="424"/>
      <c r="M43" s="424"/>
      <c r="N43" s="424"/>
      <c r="O43" s="425"/>
    </row>
    <row r="44" spans="1:16" x14ac:dyDescent="0.3">
      <c r="A44" s="53"/>
      <c r="B44" s="363" t="s">
        <v>553</v>
      </c>
      <c r="C44" s="54"/>
      <c r="D44" s="54"/>
      <c r="E44" s="54"/>
      <c r="F44" s="54"/>
      <c r="G44" s="54"/>
      <c r="H44" s="54"/>
      <c r="I44" s="54"/>
      <c r="J44" s="54"/>
      <c r="K44" s="423"/>
      <c r="L44" s="424"/>
      <c r="M44" s="424"/>
      <c r="N44" s="424"/>
      <c r="O44" s="425"/>
    </row>
    <row r="45" spans="1:16" x14ac:dyDescent="0.3">
      <c r="A45" s="53"/>
      <c r="B45" s="363" t="s">
        <v>554</v>
      </c>
      <c r="C45" s="54"/>
      <c r="D45" s="54"/>
      <c r="E45" s="54"/>
      <c r="F45" s="54"/>
      <c r="G45" s="54"/>
      <c r="H45" s="54"/>
      <c r="I45" s="54"/>
      <c r="J45" s="54"/>
      <c r="K45" s="423"/>
      <c r="L45" s="424"/>
      <c r="M45" s="424"/>
      <c r="N45" s="424"/>
      <c r="O45" s="425"/>
    </row>
    <row r="46" spans="1:16" x14ac:dyDescent="0.3">
      <c r="A46" s="53"/>
      <c r="B46" s="364" t="s">
        <v>224</v>
      </c>
      <c r="C46" s="54"/>
      <c r="D46" s="54"/>
      <c r="E46" s="54"/>
      <c r="F46" s="54"/>
      <c r="G46" s="54"/>
      <c r="H46" s="54"/>
      <c r="I46" s="54"/>
      <c r="J46" s="54"/>
      <c r="K46" s="423"/>
      <c r="L46" s="424"/>
      <c r="M46" s="424"/>
      <c r="N46" s="424"/>
      <c r="O46" s="425"/>
    </row>
    <row r="47" spans="1:16" x14ac:dyDescent="0.3">
      <c r="A47" s="53"/>
      <c r="B47" s="325" t="s">
        <v>590</v>
      </c>
      <c r="C47" s="54"/>
      <c r="D47" s="54"/>
      <c r="E47" s="54"/>
      <c r="F47" s="54"/>
      <c r="G47" s="54"/>
      <c r="H47" s="54"/>
      <c r="I47" s="54"/>
      <c r="J47" s="54"/>
      <c r="K47" s="423"/>
      <c r="L47" s="424"/>
      <c r="M47" s="424"/>
      <c r="N47" s="424"/>
      <c r="O47" s="425"/>
    </row>
    <row r="48" spans="1:16" x14ac:dyDescent="0.3">
      <c r="A48" s="53"/>
      <c r="B48" s="325" t="s">
        <v>591</v>
      </c>
      <c r="C48" s="54"/>
      <c r="D48" s="54"/>
      <c r="E48" s="54"/>
      <c r="F48" s="54"/>
      <c r="G48" s="54"/>
      <c r="H48" s="54"/>
      <c r="I48" s="54"/>
      <c r="J48" s="54"/>
      <c r="K48" s="423"/>
      <c r="L48" s="424"/>
      <c r="M48" s="424"/>
      <c r="N48" s="424"/>
      <c r="O48" s="425"/>
    </row>
    <row r="49" spans="1:16" x14ac:dyDescent="0.3">
      <c r="A49" s="53"/>
      <c r="B49" s="325" t="s">
        <v>225</v>
      </c>
      <c r="C49" s="54"/>
      <c r="D49" s="54"/>
      <c r="E49" s="54"/>
      <c r="F49" s="54"/>
      <c r="G49" s="54"/>
      <c r="H49" s="54"/>
      <c r="I49" s="54"/>
      <c r="J49" s="54"/>
      <c r="K49" s="423"/>
      <c r="L49" s="424"/>
      <c r="M49" s="424"/>
      <c r="N49" s="424"/>
      <c r="O49" s="425"/>
    </row>
    <row r="50" spans="1:16" x14ac:dyDescent="0.3">
      <c r="A50" s="53"/>
      <c r="B50" s="208" t="s">
        <v>588</v>
      </c>
      <c r="C50" s="54"/>
      <c r="D50" s="54"/>
      <c r="E50" s="54"/>
      <c r="F50" s="54"/>
      <c r="G50" s="54"/>
      <c r="H50" s="54"/>
      <c r="I50" s="54"/>
      <c r="J50" s="54"/>
      <c r="K50" s="423"/>
      <c r="L50" s="424"/>
      <c r="M50" s="424"/>
      <c r="N50" s="424"/>
      <c r="O50" s="425"/>
    </row>
    <row r="51" spans="1:16" x14ac:dyDescent="0.3">
      <c r="A51" s="53"/>
      <c r="B51" s="363" t="s">
        <v>592</v>
      </c>
      <c r="C51" s="54"/>
      <c r="D51" s="54"/>
      <c r="E51" s="54"/>
      <c r="F51" s="54"/>
      <c r="G51" s="54"/>
      <c r="H51" s="54"/>
      <c r="I51" s="54"/>
      <c r="J51" s="54"/>
      <c r="K51" s="423"/>
      <c r="L51" s="424"/>
      <c r="M51" s="424"/>
      <c r="N51" s="424"/>
      <c r="O51" s="425"/>
    </row>
    <row r="52" spans="1:16" x14ac:dyDescent="0.3">
      <c r="A52" s="53"/>
      <c r="B52" s="325" t="s">
        <v>593</v>
      </c>
      <c r="C52" s="54"/>
      <c r="D52" s="54"/>
      <c r="E52" s="54"/>
      <c r="F52" s="54"/>
      <c r="G52" s="54"/>
      <c r="H52" s="54"/>
      <c r="I52" s="54"/>
      <c r="J52" s="54"/>
      <c r="K52" s="423"/>
      <c r="L52" s="424"/>
      <c r="M52" s="424"/>
      <c r="N52" s="424"/>
      <c r="O52" s="425"/>
    </row>
    <row r="53" spans="1:16" x14ac:dyDescent="0.3">
      <c r="A53" s="53"/>
      <c r="B53" s="325" t="s">
        <v>594</v>
      </c>
      <c r="C53" s="54"/>
      <c r="D53" s="54"/>
      <c r="E53" s="54"/>
      <c r="F53" s="54"/>
      <c r="G53" s="54"/>
      <c r="H53" s="54"/>
      <c r="I53" s="54"/>
      <c r="J53" s="54"/>
      <c r="K53" s="423"/>
      <c r="L53" s="424"/>
      <c r="M53" s="424"/>
      <c r="N53" s="424"/>
      <c r="O53" s="425"/>
    </row>
    <row r="54" spans="1:16" x14ac:dyDescent="0.3">
      <c r="A54" s="53"/>
      <c r="B54" s="325" t="s">
        <v>226</v>
      </c>
      <c r="C54" s="54"/>
      <c r="D54" s="54"/>
      <c r="E54" s="54"/>
      <c r="F54" s="54"/>
      <c r="G54" s="54"/>
      <c r="H54" s="54"/>
      <c r="I54" s="54"/>
      <c r="J54" s="54"/>
      <c r="K54" s="423"/>
      <c r="L54" s="424"/>
      <c r="M54" s="424"/>
      <c r="N54" s="424"/>
      <c r="O54" s="425"/>
    </row>
    <row r="55" spans="1:16" x14ac:dyDescent="0.3">
      <c r="A55" s="184" t="s">
        <v>220</v>
      </c>
      <c r="B55" s="54" t="s">
        <v>555</v>
      </c>
      <c r="C55" s="54"/>
      <c r="D55" s="54"/>
      <c r="E55" s="54"/>
      <c r="F55" s="54"/>
      <c r="G55" s="54"/>
      <c r="H55" s="54"/>
      <c r="I55" s="54"/>
      <c r="J55" s="54"/>
      <c r="K55" s="423"/>
      <c r="L55" s="424"/>
      <c r="M55" s="424"/>
      <c r="N55" s="424"/>
      <c r="O55" s="425"/>
    </row>
    <row r="56" spans="1:16" x14ac:dyDescent="0.3">
      <c r="A56" s="53" t="s">
        <v>47</v>
      </c>
      <c r="B56" s="54" t="s">
        <v>227</v>
      </c>
      <c r="C56" s="54"/>
      <c r="D56" s="54"/>
      <c r="E56" s="54"/>
      <c r="F56" s="54"/>
      <c r="G56" s="54"/>
      <c r="H56" s="54"/>
      <c r="I56" s="54"/>
      <c r="J56" s="54"/>
      <c r="K56" s="423"/>
      <c r="L56" s="424"/>
      <c r="M56" s="424"/>
      <c r="N56" s="424"/>
      <c r="O56" s="425"/>
    </row>
    <row r="57" spans="1:16" x14ac:dyDescent="0.3">
      <c r="A57" s="55"/>
      <c r="B57" s="182"/>
      <c r="C57" s="77"/>
      <c r="D57" s="77"/>
      <c r="E57" s="77"/>
      <c r="F57" s="77"/>
      <c r="G57" s="77"/>
      <c r="H57" s="77"/>
      <c r="I57" s="77"/>
      <c r="J57" s="77"/>
      <c r="K57" s="441"/>
      <c r="L57" s="442"/>
      <c r="M57" s="442"/>
      <c r="N57" s="442"/>
      <c r="O57" s="443"/>
    </row>
    <row r="58" spans="1:16" x14ac:dyDescent="0.3">
      <c r="A58" s="20"/>
      <c r="B58" s="233"/>
      <c r="C58" s="54"/>
      <c r="D58" s="54"/>
      <c r="E58" s="54"/>
      <c r="F58" s="54"/>
      <c r="G58" s="54"/>
      <c r="H58" s="54"/>
      <c r="I58" s="54"/>
      <c r="J58" s="54"/>
      <c r="K58" s="54"/>
      <c r="L58" s="54"/>
      <c r="M58" s="54"/>
      <c r="N58" s="54"/>
      <c r="O58" s="54"/>
    </row>
    <row r="59" spans="1:16" x14ac:dyDescent="0.3">
      <c r="A59" s="56" t="s">
        <v>147</v>
      </c>
      <c r="B59" s="57"/>
      <c r="C59" s="57"/>
      <c r="D59" s="57"/>
      <c r="E59" s="57"/>
      <c r="F59" s="57"/>
      <c r="G59" s="57"/>
      <c r="H59" s="57"/>
      <c r="I59" s="57"/>
      <c r="J59" s="57"/>
      <c r="K59" s="57"/>
      <c r="L59" s="57"/>
      <c r="M59" s="57"/>
      <c r="N59" s="57"/>
      <c r="O59" s="57"/>
    </row>
    <row r="60" spans="1:16" x14ac:dyDescent="0.3">
      <c r="O60" s="234"/>
      <c r="P60" s="233"/>
    </row>
    <row r="61" spans="1:16" x14ac:dyDescent="0.3">
      <c r="A61" s="110"/>
      <c r="B61" s="244" t="s">
        <v>228</v>
      </c>
      <c r="C61" s="52"/>
      <c r="D61" s="52"/>
      <c r="E61" s="237"/>
      <c r="F61" s="110"/>
      <c r="G61" s="244" t="s">
        <v>228</v>
      </c>
      <c r="H61" s="52"/>
      <c r="I61" s="52"/>
      <c r="J61" s="237"/>
      <c r="K61" s="54"/>
      <c r="L61" s="239"/>
      <c r="M61" s="245"/>
      <c r="N61" s="54"/>
      <c r="O61" s="54"/>
    </row>
    <row r="62" spans="1:16" x14ac:dyDescent="0.3">
      <c r="A62" s="111"/>
      <c r="B62" s="245" t="s">
        <v>469</v>
      </c>
      <c r="C62" s="54"/>
      <c r="D62" s="54"/>
      <c r="E62" s="246"/>
      <c r="F62" s="111"/>
      <c r="G62" s="245" t="s">
        <v>469</v>
      </c>
      <c r="H62" s="54"/>
      <c r="I62" s="54"/>
      <c r="J62" s="246"/>
      <c r="K62" s="54"/>
      <c r="L62" s="239"/>
      <c r="M62" s="245"/>
      <c r="N62" s="54"/>
      <c r="O62" s="54"/>
    </row>
    <row r="63" spans="1:16" x14ac:dyDescent="0.3">
      <c r="A63" s="138" t="s">
        <v>475</v>
      </c>
      <c r="B63" s="247" t="s">
        <v>478</v>
      </c>
      <c r="C63" s="136"/>
      <c r="D63" s="136"/>
      <c r="E63" s="137"/>
      <c r="F63" s="129" t="s">
        <v>476</v>
      </c>
      <c r="G63" s="245" t="s">
        <v>478</v>
      </c>
      <c r="H63" s="54"/>
      <c r="I63" s="54"/>
      <c r="J63" s="246"/>
      <c r="K63" s="54"/>
      <c r="L63" s="239"/>
      <c r="M63" s="230"/>
      <c r="N63" s="54"/>
      <c r="O63" s="54"/>
    </row>
    <row r="64" spans="1:16" x14ac:dyDescent="0.3">
      <c r="A64" s="58" t="s">
        <v>48</v>
      </c>
      <c r="B64" s="58" t="s">
        <v>90</v>
      </c>
      <c r="C64" s="58" t="s">
        <v>91</v>
      </c>
      <c r="D64" s="58" t="s">
        <v>229</v>
      </c>
      <c r="E64" s="58" t="s">
        <v>143</v>
      </c>
      <c r="F64" s="58" t="s">
        <v>48</v>
      </c>
      <c r="G64" s="58" t="s">
        <v>90</v>
      </c>
      <c r="H64" s="58" t="s">
        <v>91</v>
      </c>
      <c r="I64" s="58" t="s">
        <v>229</v>
      </c>
      <c r="J64" s="58" t="s">
        <v>143</v>
      </c>
      <c r="L64" s="239"/>
      <c r="M64" s="230"/>
      <c r="N64" s="239"/>
      <c r="O64" s="239"/>
    </row>
    <row r="65" spans="1:16" x14ac:dyDescent="0.3">
      <c r="A65" s="59"/>
      <c r="B65" s="59" t="str">
        <f>IF(OR($A$61="",$A$62=""),"",IF($A$62="rektangulær","kant/diagonal","diameter"))</f>
        <v/>
      </c>
      <c r="C65" s="59" t="str">
        <f>IF(OR($A$61="",$A$62=""),"",IF($A$62="rektangulær","kant/diagonal","diameter"))</f>
        <v/>
      </c>
      <c r="D65" s="59" t="s">
        <v>223</v>
      </c>
      <c r="E65" s="59"/>
      <c r="F65" s="59"/>
      <c r="G65" s="59" t="str">
        <f>IF(OR($F$61="",$F$62=""),"",IF($F$62="rektangulær","kant/diagonal","diameter"))</f>
        <v/>
      </c>
      <c r="H65" s="59" t="str">
        <f>IF(OR($F$61="",$F$62=""),"",IF($F$62="rektangulær","kant/diagonal","diameter"))</f>
        <v/>
      </c>
      <c r="I65" s="59" t="s">
        <v>223</v>
      </c>
      <c r="J65" s="59"/>
      <c r="L65" s="47"/>
      <c r="M65" s="230"/>
      <c r="N65" s="47"/>
      <c r="O65" s="47"/>
    </row>
    <row r="66" spans="1:16" x14ac:dyDescent="0.3">
      <c r="A66" s="60"/>
      <c r="B66" s="60" t="s">
        <v>60</v>
      </c>
      <c r="C66" s="60" t="s">
        <v>60</v>
      </c>
      <c r="D66" s="60" t="s">
        <v>58</v>
      </c>
      <c r="E66" s="60" t="s">
        <v>470</v>
      </c>
      <c r="F66" s="59"/>
      <c r="G66" s="59" t="s">
        <v>60</v>
      </c>
      <c r="H66" s="59" t="s">
        <v>60</v>
      </c>
      <c r="I66" s="59" t="s">
        <v>58</v>
      </c>
      <c r="J66" s="60" t="s">
        <v>470</v>
      </c>
      <c r="M66" s="230"/>
    </row>
    <row r="67" spans="1:16" x14ac:dyDescent="0.3">
      <c r="A67" s="144">
        <v>1</v>
      </c>
      <c r="B67" s="110"/>
      <c r="C67" s="110"/>
      <c r="D67" s="240" t="str">
        <f>IF(OR($A$61="",B67="",C67=""),"",ABS(C67-B67)/$A$61*100)</f>
        <v/>
      </c>
      <c r="E67" s="144" t="str">
        <f>IF(OR(B67="",C67="",$A$61=""),"",IF(D67&gt;2,"Kontakt MFE","OK"))</f>
        <v/>
      </c>
      <c r="F67" s="144">
        <v>1</v>
      </c>
      <c r="G67" s="110"/>
      <c r="H67" s="110"/>
      <c r="I67" s="240" t="str">
        <f>IF(OR($F$61="",G67="",H67=""),"",ABS(H67-G67)/$F$61*100)</f>
        <v/>
      </c>
      <c r="J67" s="144" t="str">
        <f>IF(OR(G67="",H67="",$A$61=""),"",IF(I67&gt;2,"Kontakt MFE","OK"))</f>
        <v/>
      </c>
      <c r="M67" s="230"/>
    </row>
    <row r="68" spans="1:16" x14ac:dyDescent="0.3">
      <c r="A68" s="242">
        <v>2</v>
      </c>
      <c r="B68" s="111"/>
      <c r="C68" s="111"/>
      <c r="D68" s="129" t="str">
        <f t="shared" ref="D68:D71" si="3">IF(OR($A$61="",B68="",C68=""),"",ABS(C68-B68)/$A$61*100)</f>
        <v/>
      </c>
      <c r="E68" s="242" t="str">
        <f t="shared" ref="E68:E71" si="4">IF(OR(B68="",C68="",$A$61=""),"",IF(D68&gt;2,"Kontakt MFE","OK"))</f>
        <v/>
      </c>
      <c r="F68" s="242">
        <v>2</v>
      </c>
      <c r="G68" s="111"/>
      <c r="H68" s="111"/>
      <c r="I68" s="129" t="str">
        <f t="shared" ref="I68:I71" si="5">IF(OR($F$61="",G68="",H68=""),"",ABS(H68-G68)/$F$61*100)</f>
        <v/>
      </c>
      <c r="J68" s="242" t="str">
        <f t="shared" ref="J68:J71" si="6">IF(OR(G68="",H68="",$A$61=""),"",IF(I68&gt;2,"Kontakt MFE","OK"))</f>
        <v/>
      </c>
      <c r="M68" s="230"/>
    </row>
    <row r="69" spans="1:16" x14ac:dyDescent="0.3">
      <c r="A69" s="242">
        <v>3</v>
      </c>
      <c r="B69" s="111"/>
      <c r="C69" s="111"/>
      <c r="D69" s="129" t="str">
        <f t="shared" si="3"/>
        <v/>
      </c>
      <c r="E69" s="242" t="str">
        <f t="shared" si="4"/>
        <v/>
      </c>
      <c r="F69" s="242">
        <v>3</v>
      </c>
      <c r="G69" s="111"/>
      <c r="H69" s="111"/>
      <c r="I69" s="129" t="str">
        <f t="shared" si="5"/>
        <v/>
      </c>
      <c r="J69" s="242" t="str">
        <f t="shared" si="6"/>
        <v/>
      </c>
      <c r="M69" s="230"/>
    </row>
    <row r="70" spans="1:16" x14ac:dyDescent="0.3">
      <c r="A70" s="242">
        <v>4</v>
      </c>
      <c r="B70" s="111"/>
      <c r="C70" s="111"/>
      <c r="D70" s="129" t="str">
        <f t="shared" si="3"/>
        <v/>
      </c>
      <c r="E70" s="242" t="str">
        <f t="shared" si="4"/>
        <v/>
      </c>
      <c r="F70" s="242">
        <v>4</v>
      </c>
      <c r="G70" s="111"/>
      <c r="H70" s="111"/>
      <c r="I70" s="129" t="str">
        <f t="shared" si="5"/>
        <v/>
      </c>
      <c r="J70" s="242" t="str">
        <f t="shared" si="6"/>
        <v/>
      </c>
      <c r="M70" s="248"/>
    </row>
    <row r="71" spans="1:16" x14ac:dyDescent="0.3">
      <c r="A71" s="145">
        <v>5</v>
      </c>
      <c r="B71" s="112"/>
      <c r="C71" s="112"/>
      <c r="D71" s="138" t="str">
        <f t="shared" si="3"/>
        <v/>
      </c>
      <c r="E71" s="145" t="str">
        <f t="shared" si="4"/>
        <v/>
      </c>
      <c r="F71" s="145">
        <v>5</v>
      </c>
      <c r="G71" s="112"/>
      <c r="H71" s="112"/>
      <c r="I71" s="138" t="str">
        <f t="shared" si="5"/>
        <v/>
      </c>
      <c r="J71" s="145" t="str">
        <f t="shared" si="6"/>
        <v/>
      </c>
      <c r="M71" s="238"/>
    </row>
    <row r="74" spans="1:16" ht="18" x14ac:dyDescent="0.35">
      <c r="A74" s="46" t="s">
        <v>324</v>
      </c>
      <c r="B74" s="48"/>
      <c r="C74" s="48"/>
      <c r="D74" s="48"/>
      <c r="E74" s="46" t="s">
        <v>600</v>
      </c>
      <c r="F74" s="48"/>
      <c r="G74" s="48"/>
      <c r="H74" s="48"/>
      <c r="I74" s="48"/>
      <c r="J74" s="48"/>
      <c r="K74" s="48"/>
      <c r="L74" s="48"/>
      <c r="M74" s="48"/>
      <c r="N74" s="48"/>
      <c r="O74" s="48"/>
      <c r="P74" s="54"/>
    </row>
    <row r="76" spans="1:16" x14ac:dyDescent="0.3">
      <c r="A76" s="49" t="s">
        <v>149</v>
      </c>
      <c r="B76" s="50"/>
      <c r="C76" s="50"/>
      <c r="D76" s="50"/>
      <c r="E76" s="50"/>
      <c r="F76" s="50"/>
      <c r="G76" s="50"/>
      <c r="H76" s="50"/>
      <c r="I76" s="50"/>
      <c r="J76" s="50"/>
      <c r="K76" s="73" t="s">
        <v>96</v>
      </c>
      <c r="L76" s="50"/>
      <c r="M76" s="50"/>
      <c r="N76" s="50"/>
      <c r="O76" s="50"/>
    </row>
    <row r="77" spans="1:16" x14ac:dyDescent="0.3">
      <c r="A77" s="51" t="s">
        <v>44</v>
      </c>
      <c r="B77" s="52" t="s">
        <v>72</v>
      </c>
      <c r="C77" s="52"/>
      <c r="D77" s="52"/>
      <c r="E77" s="52"/>
      <c r="F77" s="52"/>
      <c r="G77" s="52"/>
      <c r="H77" s="52"/>
      <c r="I77" s="52"/>
      <c r="J77" s="52"/>
      <c r="K77" s="432"/>
      <c r="L77" s="433"/>
      <c r="M77" s="433"/>
      <c r="N77" s="433"/>
      <c r="O77" s="434"/>
    </row>
    <row r="78" spans="1:16" x14ac:dyDescent="0.3">
      <c r="A78" s="53" t="s">
        <v>45</v>
      </c>
      <c r="B78" s="20" t="s">
        <v>486</v>
      </c>
      <c r="C78" s="54"/>
      <c r="D78" s="54"/>
      <c r="E78" s="54"/>
      <c r="F78" s="54"/>
      <c r="G78" s="54"/>
      <c r="H78" s="54"/>
      <c r="I78" s="54"/>
      <c r="J78" s="54"/>
      <c r="K78" s="435"/>
      <c r="L78" s="436"/>
      <c r="M78" s="436"/>
      <c r="N78" s="436"/>
      <c r="O78" s="437"/>
    </row>
    <row r="79" spans="1:16" x14ac:dyDescent="0.3">
      <c r="A79" s="53" t="s">
        <v>46</v>
      </c>
      <c r="B79" s="20" t="s">
        <v>595</v>
      </c>
      <c r="C79" s="54"/>
      <c r="D79" s="54"/>
      <c r="E79" s="54"/>
      <c r="F79" s="54"/>
      <c r="G79" s="54"/>
      <c r="H79" s="54"/>
      <c r="I79" s="54"/>
      <c r="J79" s="54"/>
      <c r="K79" s="426"/>
      <c r="L79" s="427"/>
      <c r="M79" s="427"/>
      <c r="N79" s="427"/>
      <c r="O79" s="428"/>
    </row>
    <row r="80" spans="1:16" x14ac:dyDescent="0.3">
      <c r="A80" s="53"/>
      <c r="B80" s="20" t="s">
        <v>596</v>
      </c>
      <c r="C80" s="54"/>
      <c r="D80" s="54"/>
      <c r="E80" s="54"/>
      <c r="F80" s="54"/>
      <c r="G80" s="54"/>
      <c r="H80" s="54"/>
      <c r="I80" s="54"/>
      <c r="J80" s="54"/>
      <c r="K80" s="426"/>
      <c r="L80" s="427"/>
      <c r="M80" s="427"/>
      <c r="N80" s="427"/>
      <c r="O80" s="428"/>
    </row>
    <row r="81" spans="1:16" x14ac:dyDescent="0.3">
      <c r="A81" s="53"/>
      <c r="B81" s="184" t="s">
        <v>502</v>
      </c>
      <c r="C81" s="54"/>
      <c r="D81" s="54"/>
      <c r="E81" s="54"/>
      <c r="F81" s="54"/>
      <c r="G81" s="54"/>
      <c r="H81" s="54"/>
      <c r="I81" s="54"/>
      <c r="J81" s="54"/>
      <c r="K81" s="426"/>
      <c r="L81" s="427"/>
      <c r="M81" s="427"/>
      <c r="N81" s="427"/>
      <c r="O81" s="428"/>
    </row>
    <row r="82" spans="1:16" x14ac:dyDescent="0.3">
      <c r="A82" s="53"/>
      <c r="B82" s="20" t="s">
        <v>597</v>
      </c>
      <c r="C82" s="54"/>
      <c r="D82" s="54"/>
      <c r="E82" s="54"/>
      <c r="F82" s="54"/>
      <c r="G82" s="54"/>
      <c r="H82" s="54"/>
      <c r="I82" s="54"/>
      <c r="J82" s="54"/>
      <c r="K82" s="435"/>
      <c r="L82" s="436"/>
      <c r="M82" s="436"/>
      <c r="N82" s="436"/>
      <c r="O82" s="437"/>
    </row>
    <row r="83" spans="1:16" x14ac:dyDescent="0.3">
      <c r="A83" s="53"/>
      <c r="B83" s="184" t="s">
        <v>556</v>
      </c>
      <c r="C83" s="54"/>
      <c r="D83" s="54"/>
      <c r="E83" s="54"/>
      <c r="F83" s="54"/>
      <c r="G83" s="54"/>
      <c r="H83" s="54"/>
      <c r="I83" s="54"/>
      <c r="J83" s="54"/>
      <c r="K83" s="435"/>
      <c r="L83" s="436"/>
      <c r="M83" s="436"/>
      <c r="N83" s="436"/>
      <c r="O83" s="437"/>
    </row>
    <row r="84" spans="1:16" x14ac:dyDescent="0.3">
      <c r="A84" s="53"/>
      <c r="B84" s="20" t="s">
        <v>500</v>
      </c>
      <c r="C84" s="54"/>
      <c r="D84" s="54"/>
      <c r="E84" s="54"/>
      <c r="F84" s="54"/>
      <c r="G84" s="54"/>
      <c r="H84" s="54"/>
      <c r="I84" s="54"/>
      <c r="J84" s="54"/>
      <c r="K84" s="435"/>
      <c r="L84" s="436"/>
      <c r="M84" s="436"/>
      <c r="N84" s="436"/>
      <c r="O84" s="437"/>
    </row>
    <row r="85" spans="1:16" x14ac:dyDescent="0.3">
      <c r="A85" s="53"/>
      <c r="B85" s="20" t="s">
        <v>503</v>
      </c>
      <c r="C85" s="54"/>
      <c r="D85" s="54"/>
      <c r="E85" s="54"/>
      <c r="F85" s="54"/>
      <c r="G85" s="54"/>
      <c r="H85" s="54"/>
      <c r="I85" s="54"/>
      <c r="J85" s="54"/>
      <c r="K85" s="435"/>
      <c r="L85" s="436"/>
      <c r="M85" s="436"/>
      <c r="N85" s="436"/>
      <c r="O85" s="437"/>
    </row>
    <row r="86" spans="1:16" x14ac:dyDescent="0.3">
      <c r="A86" s="53"/>
      <c r="B86" s="184" t="s">
        <v>504</v>
      </c>
      <c r="C86" s="54"/>
      <c r="D86" s="54"/>
      <c r="E86" s="54"/>
      <c r="F86" s="54"/>
      <c r="G86" s="54"/>
      <c r="H86" s="54"/>
      <c r="I86" s="54"/>
      <c r="J86" s="54"/>
      <c r="K86" s="435"/>
      <c r="L86" s="436"/>
      <c r="M86" s="436"/>
      <c r="N86" s="436"/>
      <c r="O86" s="437"/>
    </row>
    <row r="87" spans="1:16" x14ac:dyDescent="0.3">
      <c r="A87" s="53"/>
      <c r="B87" s="20" t="s">
        <v>598</v>
      </c>
      <c r="C87" s="54"/>
      <c r="D87" s="54"/>
      <c r="E87" s="54"/>
      <c r="F87" s="54"/>
      <c r="G87" s="54"/>
      <c r="H87" s="54"/>
      <c r="I87" s="54"/>
      <c r="J87" s="54"/>
      <c r="K87" s="435"/>
      <c r="L87" s="436"/>
      <c r="M87" s="436"/>
      <c r="N87" s="436"/>
      <c r="O87" s="437"/>
    </row>
    <row r="88" spans="1:16" x14ac:dyDescent="0.3">
      <c r="A88" s="53"/>
      <c r="B88" s="184" t="s">
        <v>599</v>
      </c>
      <c r="C88" s="54"/>
      <c r="D88" s="54"/>
      <c r="E88" s="54"/>
      <c r="F88" s="54"/>
      <c r="G88" s="54"/>
      <c r="H88" s="54"/>
      <c r="I88" s="54"/>
      <c r="J88" s="54"/>
      <c r="K88" s="435"/>
      <c r="L88" s="436"/>
      <c r="M88" s="436"/>
      <c r="N88" s="436"/>
      <c r="O88" s="437"/>
    </row>
    <row r="89" spans="1:16" x14ac:dyDescent="0.3">
      <c r="A89" s="53"/>
      <c r="B89" s="184" t="s">
        <v>505</v>
      </c>
      <c r="C89" s="54"/>
      <c r="D89" s="54"/>
      <c r="E89" s="54"/>
      <c r="F89" s="54"/>
      <c r="G89" s="54"/>
      <c r="H89" s="54"/>
      <c r="I89" s="54"/>
      <c r="J89" s="54"/>
      <c r="K89" s="435"/>
      <c r="L89" s="436"/>
      <c r="M89" s="436"/>
      <c r="N89" s="436"/>
      <c r="O89" s="437"/>
    </row>
    <row r="90" spans="1:16" x14ac:dyDescent="0.3">
      <c r="A90" s="53"/>
      <c r="B90" s="20" t="s">
        <v>501</v>
      </c>
      <c r="C90" s="54"/>
      <c r="D90" s="54"/>
      <c r="E90" s="54"/>
      <c r="F90" s="54"/>
      <c r="G90" s="54"/>
      <c r="H90" s="54"/>
      <c r="I90" s="54"/>
      <c r="J90" s="54"/>
      <c r="K90" s="435"/>
      <c r="L90" s="436"/>
      <c r="M90" s="436"/>
      <c r="N90" s="436"/>
      <c r="O90" s="437"/>
    </row>
    <row r="91" spans="1:16" x14ac:dyDescent="0.3">
      <c r="A91" s="53" t="s">
        <v>47</v>
      </c>
      <c r="B91" s="233" t="s">
        <v>506</v>
      </c>
      <c r="C91" s="54"/>
      <c r="D91" s="54"/>
      <c r="E91" s="54"/>
      <c r="F91" s="54"/>
      <c r="G91" s="54"/>
      <c r="H91" s="54"/>
      <c r="I91" s="54"/>
      <c r="J91" s="54"/>
      <c r="K91" s="435"/>
      <c r="L91" s="436"/>
      <c r="M91" s="436"/>
      <c r="N91" s="436"/>
      <c r="O91" s="437"/>
    </row>
    <row r="92" spans="1:16" x14ac:dyDescent="0.3">
      <c r="A92" s="53"/>
      <c r="B92" s="54" t="s">
        <v>557</v>
      </c>
      <c r="C92" s="54"/>
      <c r="D92" s="54"/>
      <c r="E92" s="54"/>
      <c r="F92" s="54"/>
      <c r="G92" s="54"/>
      <c r="H92" s="54"/>
      <c r="I92" s="54"/>
      <c r="J92" s="54"/>
      <c r="K92" s="435"/>
      <c r="L92" s="436"/>
      <c r="M92" s="436"/>
      <c r="N92" s="436"/>
      <c r="O92" s="437"/>
    </row>
    <row r="93" spans="1:16" x14ac:dyDescent="0.3">
      <c r="A93" s="55"/>
      <c r="B93" s="182"/>
      <c r="C93" s="77"/>
      <c r="D93" s="77"/>
      <c r="E93" s="77"/>
      <c r="F93" s="77"/>
      <c r="G93" s="77"/>
      <c r="H93" s="77"/>
      <c r="I93" s="77"/>
      <c r="J93" s="77"/>
      <c r="K93" s="429"/>
      <c r="L93" s="430"/>
      <c r="M93" s="430"/>
      <c r="N93" s="430"/>
      <c r="O93" s="431"/>
    </row>
    <row r="94" spans="1:16" x14ac:dyDescent="0.3">
      <c r="A94" s="20"/>
      <c r="B94" s="233"/>
      <c r="C94" s="54"/>
      <c r="D94" s="54"/>
      <c r="E94" s="54"/>
      <c r="F94" s="54"/>
      <c r="G94" s="54"/>
      <c r="H94" s="54"/>
      <c r="I94" s="54"/>
      <c r="J94" s="54"/>
      <c r="K94" s="54"/>
      <c r="L94" s="54"/>
      <c r="M94" s="54"/>
      <c r="N94" s="54"/>
      <c r="O94" s="54"/>
    </row>
    <row r="95" spans="1:16" x14ac:dyDescent="0.3">
      <c r="A95" s="56" t="s">
        <v>141</v>
      </c>
      <c r="B95" s="57"/>
      <c r="C95" s="57"/>
      <c r="D95" s="57"/>
      <c r="E95" s="57"/>
      <c r="F95" s="57"/>
      <c r="G95" s="57"/>
      <c r="H95" s="57"/>
      <c r="I95" s="57"/>
      <c r="J95" s="57"/>
      <c r="K95" s="57"/>
      <c r="L95" s="57"/>
      <c r="M95" s="57"/>
      <c r="N95" s="57"/>
      <c r="O95" s="57"/>
    </row>
    <row r="96" spans="1:16" x14ac:dyDescent="0.3">
      <c r="O96" s="234"/>
      <c r="P96" s="233"/>
    </row>
    <row r="97" spans="1:16" x14ac:dyDescent="0.3">
      <c r="A97" s="208" t="s">
        <v>92</v>
      </c>
      <c r="I97" s="26"/>
      <c r="J97" s="54"/>
      <c r="K97" s="230"/>
      <c r="L97" s="26"/>
      <c r="M97" s="54"/>
      <c r="N97" s="54"/>
      <c r="O97" s="54"/>
    </row>
    <row r="98" spans="1:16" x14ac:dyDescent="0.3">
      <c r="A98" s="110"/>
      <c r="B98" s="249" t="s">
        <v>228</v>
      </c>
      <c r="C98" s="52"/>
      <c r="D98" s="234"/>
      <c r="E98" s="234"/>
      <c r="F98" s="52"/>
      <c r="G98" s="234"/>
      <c r="H98" s="234"/>
      <c r="I98" s="237"/>
      <c r="J98" s="54"/>
      <c r="K98" s="54"/>
      <c r="L98" s="239"/>
      <c r="M98" s="54"/>
      <c r="N98" s="54"/>
      <c r="O98" s="54"/>
    </row>
    <row r="99" spans="1:16" x14ac:dyDescent="0.3">
      <c r="A99" s="114"/>
      <c r="B99" s="250" t="s">
        <v>468</v>
      </c>
      <c r="C99" s="54"/>
      <c r="D99" s="233"/>
      <c r="E99" s="233"/>
      <c r="F99" s="54"/>
      <c r="G99" s="233"/>
      <c r="H99" s="233"/>
      <c r="I99" s="246"/>
      <c r="J99" s="245"/>
      <c r="K99" s="146"/>
      <c r="L99" s="238"/>
      <c r="M99" s="245"/>
      <c r="N99" s="54"/>
      <c r="O99" s="54"/>
    </row>
    <row r="100" spans="1:16" x14ac:dyDescent="0.3">
      <c r="A100" s="114"/>
      <c r="B100" s="250" t="s">
        <v>394</v>
      </c>
      <c r="C100" s="54"/>
      <c r="D100" s="233"/>
      <c r="E100" s="233"/>
      <c r="F100" s="54"/>
      <c r="G100" s="233"/>
      <c r="H100" s="233"/>
      <c r="I100" s="246"/>
      <c r="J100" s="245"/>
      <c r="K100" s="146"/>
      <c r="L100" s="239"/>
      <c r="M100" s="245"/>
      <c r="N100" s="54"/>
      <c r="O100" s="54"/>
    </row>
    <row r="101" spans="1:16" x14ac:dyDescent="0.3">
      <c r="A101" s="115"/>
      <c r="B101" s="251"/>
      <c r="C101" s="77"/>
      <c r="D101" s="182"/>
      <c r="E101" s="182"/>
      <c r="F101" s="77"/>
      <c r="G101" s="182"/>
      <c r="H101" s="182"/>
      <c r="I101" s="252"/>
      <c r="J101" s="245"/>
      <c r="K101" s="54"/>
      <c r="L101" s="239"/>
      <c r="M101" s="245"/>
      <c r="N101" s="54"/>
      <c r="O101" s="54"/>
    </row>
    <row r="102" spans="1:16" x14ac:dyDescent="0.3">
      <c r="A102" s="58" t="s">
        <v>48</v>
      </c>
      <c r="B102" s="58" t="s">
        <v>90</v>
      </c>
      <c r="C102" s="58" t="s">
        <v>144</v>
      </c>
      <c r="D102" s="58" t="s">
        <v>145</v>
      </c>
      <c r="E102" s="58" t="s">
        <v>229</v>
      </c>
      <c r="F102" s="58" t="s">
        <v>143</v>
      </c>
      <c r="G102" s="58" t="s">
        <v>319</v>
      </c>
      <c r="H102" s="58" t="s">
        <v>319</v>
      </c>
      <c r="I102" s="58" t="s">
        <v>474</v>
      </c>
      <c r="K102" s="146"/>
      <c r="L102" s="54"/>
      <c r="M102" s="54"/>
      <c r="N102" s="54"/>
      <c r="O102" s="54"/>
    </row>
    <row r="103" spans="1:16" x14ac:dyDescent="0.3">
      <c r="A103" s="59"/>
      <c r="B103" s="59" t="str">
        <f>IF($A$99="","",IF($A$99="rektangulær","kant/diagonal","diameter"))</f>
        <v/>
      </c>
      <c r="C103" s="59" t="str">
        <f>IF($A$99="","",IF($A$99="rektangulær","kant/diagonal","diameter"))</f>
        <v/>
      </c>
      <c r="D103" s="59" t="s">
        <v>57</v>
      </c>
      <c r="E103" s="59" t="s">
        <v>223</v>
      </c>
      <c r="F103" s="59"/>
      <c r="G103" s="59" t="s">
        <v>320</v>
      </c>
      <c r="H103" s="59" t="s">
        <v>321</v>
      </c>
      <c r="I103" s="59" t="s">
        <v>477</v>
      </c>
    </row>
    <row r="104" spans="1:16" x14ac:dyDescent="0.3">
      <c r="A104" s="59"/>
      <c r="B104" s="59" t="s">
        <v>146</v>
      </c>
      <c r="C104" s="59" t="s">
        <v>395</v>
      </c>
      <c r="D104" s="59"/>
      <c r="E104" s="59"/>
      <c r="F104" s="59"/>
      <c r="G104" s="59"/>
      <c r="H104" s="59"/>
      <c r="I104" s="59"/>
    </row>
    <row r="105" spans="1:16" x14ac:dyDescent="0.3">
      <c r="A105" s="59"/>
      <c r="B105" s="59" t="s">
        <v>60</v>
      </c>
      <c r="C105" s="59" t="s">
        <v>60</v>
      </c>
      <c r="D105" s="59" t="s">
        <v>60</v>
      </c>
      <c r="E105" s="59" t="s">
        <v>58</v>
      </c>
      <c r="F105" s="60" t="s">
        <v>130</v>
      </c>
      <c r="G105" s="60" t="s">
        <v>130</v>
      </c>
      <c r="H105" s="60" t="s">
        <v>130</v>
      </c>
      <c r="I105" s="253"/>
    </row>
    <row r="106" spans="1:16" x14ac:dyDescent="0.3">
      <c r="A106" s="144">
        <v>1</v>
      </c>
      <c r="B106" s="110"/>
      <c r="C106" s="110"/>
      <c r="D106" s="240" t="str">
        <f>IF(OR(B106="",C106=""),"",ABS(B106-C106))</f>
        <v/>
      </c>
      <c r="E106" s="240" t="str">
        <f>IF(OR($A$98="",$A$99="",B106="",C106=""),"",D106/$A$98*100)</f>
        <v/>
      </c>
      <c r="F106" s="144" t="str">
        <f>IF(OR($A$98="",B106="",C106=""),"",IF(E106&gt;2,"IKKE OK","OK"))</f>
        <v/>
      </c>
      <c r="G106" s="113"/>
      <c r="H106" s="113"/>
      <c r="I106" s="240" t="s">
        <v>475</v>
      </c>
    </row>
    <row r="107" spans="1:16" x14ac:dyDescent="0.3">
      <c r="A107" s="243">
        <v>2</v>
      </c>
      <c r="B107" s="112"/>
      <c r="C107" s="112"/>
      <c r="D107" s="138" t="str">
        <f>IF(OR(B107="",C107=""),"",ABS(B107-C107))</f>
        <v/>
      </c>
      <c r="E107" s="138" t="str">
        <f>IF(OR($A$98="",$A$99="",B107="",C107=""),"",D107/$A$98*100)</f>
        <v/>
      </c>
      <c r="F107" s="145" t="str">
        <f>IF(OR($A$98="",B107="",C107=""),"",IF(E107&gt;2,"IKKE OK","OK"))</f>
        <v/>
      </c>
      <c r="G107" s="115"/>
      <c r="H107" s="115"/>
      <c r="I107" s="243" t="s">
        <v>476</v>
      </c>
    </row>
    <row r="110" spans="1:16" ht="18" x14ac:dyDescent="0.35">
      <c r="A110" s="46" t="s">
        <v>231</v>
      </c>
      <c r="B110" s="48"/>
      <c r="C110" s="48"/>
      <c r="D110" s="48"/>
      <c r="E110" s="46" t="s">
        <v>600</v>
      </c>
      <c r="F110" s="48"/>
      <c r="G110" s="48"/>
      <c r="H110" s="48"/>
      <c r="I110" s="48"/>
      <c r="J110" s="48"/>
      <c r="K110" s="48"/>
      <c r="L110" s="48"/>
      <c r="M110" s="48"/>
      <c r="N110" s="48"/>
      <c r="O110" s="48"/>
      <c r="P110" s="54"/>
    </row>
    <row r="112" spans="1:16" x14ac:dyDescent="0.3">
      <c r="A112" s="49" t="s">
        <v>204</v>
      </c>
      <c r="B112" s="50"/>
      <c r="C112" s="50"/>
      <c r="D112" s="50"/>
      <c r="E112" s="50"/>
      <c r="F112" s="50"/>
      <c r="G112" s="50"/>
      <c r="H112" s="50"/>
      <c r="I112" s="50"/>
      <c r="J112" s="50"/>
      <c r="K112" s="73" t="s">
        <v>96</v>
      </c>
      <c r="L112" s="50"/>
      <c r="M112" s="50"/>
      <c r="N112" s="50"/>
      <c r="O112" s="50"/>
    </row>
    <row r="113" spans="1:17" x14ac:dyDescent="0.3">
      <c r="A113" s="51" t="s">
        <v>44</v>
      </c>
      <c r="B113" s="52" t="s">
        <v>88</v>
      </c>
      <c r="C113" s="52"/>
      <c r="D113" s="52"/>
      <c r="E113" s="52"/>
      <c r="F113" s="52"/>
      <c r="G113" s="52"/>
      <c r="H113" s="52"/>
      <c r="I113" s="52"/>
      <c r="J113" s="52"/>
      <c r="K113" s="432"/>
      <c r="L113" s="433"/>
      <c r="M113" s="433"/>
      <c r="N113" s="433"/>
      <c r="O113" s="434"/>
    </row>
    <row r="114" spans="1:17" x14ac:dyDescent="0.3">
      <c r="A114" s="53" t="s">
        <v>45</v>
      </c>
      <c r="B114" s="54" t="s">
        <v>148</v>
      </c>
      <c r="C114" s="54"/>
      <c r="D114" s="54"/>
      <c r="E114" s="54"/>
      <c r="F114" s="54"/>
      <c r="G114" s="54"/>
      <c r="H114" s="54"/>
      <c r="I114" s="54"/>
      <c r="J114" s="54"/>
      <c r="K114" s="435"/>
      <c r="L114" s="436"/>
      <c r="M114" s="436"/>
      <c r="N114" s="436"/>
      <c r="O114" s="437"/>
      <c r="Q114" s="230"/>
    </row>
    <row r="115" spans="1:17" x14ac:dyDescent="0.3">
      <c r="A115" s="53" t="s">
        <v>46</v>
      </c>
      <c r="B115" s="54" t="s">
        <v>601</v>
      </c>
      <c r="C115" s="54"/>
      <c r="D115" s="54"/>
      <c r="E115" s="54"/>
      <c r="F115" s="54"/>
      <c r="G115" s="54"/>
      <c r="H115" s="54"/>
      <c r="I115" s="54"/>
      <c r="J115" s="54"/>
      <c r="K115" s="435"/>
      <c r="L115" s="436"/>
      <c r="M115" s="436"/>
      <c r="N115" s="436"/>
      <c r="O115" s="437"/>
      <c r="Q115" s="230"/>
    </row>
    <row r="116" spans="1:17" x14ac:dyDescent="0.3">
      <c r="A116" s="53"/>
      <c r="B116" s="54" t="s">
        <v>487</v>
      </c>
      <c r="C116" s="54"/>
      <c r="D116" s="54"/>
      <c r="E116" s="54"/>
      <c r="F116" s="54"/>
      <c r="G116" s="54"/>
      <c r="H116" s="54"/>
      <c r="I116" s="54"/>
      <c r="J116" s="54"/>
      <c r="K116" s="435"/>
      <c r="L116" s="436"/>
      <c r="M116" s="436"/>
      <c r="N116" s="436"/>
      <c r="O116" s="437"/>
      <c r="Q116" s="230"/>
    </row>
    <row r="117" spans="1:17" x14ac:dyDescent="0.3">
      <c r="A117" s="53"/>
      <c r="B117" s="54" t="s">
        <v>602</v>
      </c>
      <c r="C117" s="54"/>
      <c r="D117" s="54"/>
      <c r="E117" s="54"/>
      <c r="F117" s="54"/>
      <c r="G117" s="54"/>
      <c r="H117" s="54"/>
      <c r="I117" s="54"/>
      <c r="J117" s="54"/>
      <c r="K117" s="435"/>
      <c r="L117" s="436"/>
      <c r="M117" s="436"/>
      <c r="N117" s="436"/>
      <c r="O117" s="437"/>
      <c r="Q117" s="230"/>
    </row>
    <row r="118" spans="1:17" x14ac:dyDescent="0.3">
      <c r="A118" s="53"/>
      <c r="B118" s="184" t="s">
        <v>507</v>
      </c>
      <c r="C118" s="54"/>
      <c r="D118" s="54"/>
      <c r="E118" s="54"/>
      <c r="F118" s="54"/>
      <c r="G118" s="54"/>
      <c r="H118" s="54"/>
      <c r="I118" s="54"/>
      <c r="J118" s="54"/>
      <c r="K118" s="435"/>
      <c r="L118" s="436"/>
      <c r="M118" s="436"/>
      <c r="N118" s="436"/>
      <c r="O118" s="437"/>
      <c r="Q118" s="230"/>
    </row>
    <row r="119" spans="1:17" x14ac:dyDescent="0.3">
      <c r="A119" s="53"/>
      <c r="B119" s="54" t="s">
        <v>603</v>
      </c>
      <c r="C119" s="54"/>
      <c r="D119" s="54"/>
      <c r="E119" s="54"/>
      <c r="F119" s="54"/>
      <c r="G119" s="54"/>
      <c r="H119" s="54"/>
      <c r="I119" s="54"/>
      <c r="J119" s="54"/>
      <c r="K119" s="435"/>
      <c r="L119" s="436"/>
      <c r="M119" s="436"/>
      <c r="N119" s="436"/>
      <c r="O119" s="437"/>
      <c r="Q119" s="230"/>
    </row>
    <row r="120" spans="1:17" x14ac:dyDescent="0.3">
      <c r="A120" s="53"/>
      <c r="B120" s="54" t="s">
        <v>508</v>
      </c>
      <c r="C120" s="54"/>
      <c r="D120" s="54"/>
      <c r="E120" s="54"/>
      <c r="F120" s="54"/>
      <c r="G120" s="54"/>
      <c r="H120" s="54"/>
      <c r="I120" s="54"/>
      <c r="J120" s="54"/>
      <c r="K120" s="435"/>
      <c r="L120" s="436"/>
      <c r="M120" s="436"/>
      <c r="N120" s="436"/>
      <c r="O120" s="437"/>
      <c r="Q120" s="230"/>
    </row>
    <row r="121" spans="1:17" x14ac:dyDescent="0.3">
      <c r="A121" s="53" t="s">
        <v>47</v>
      </c>
      <c r="B121" s="54" t="s">
        <v>604</v>
      </c>
      <c r="C121" s="54"/>
      <c r="D121" s="54"/>
      <c r="E121" s="54"/>
      <c r="F121" s="54"/>
      <c r="G121" s="54"/>
      <c r="H121" s="54"/>
      <c r="I121" s="54"/>
      <c r="J121" s="54"/>
      <c r="K121" s="435"/>
      <c r="L121" s="436"/>
      <c r="M121" s="436"/>
      <c r="N121" s="436"/>
      <c r="O121" s="437"/>
      <c r="Q121" s="230"/>
    </row>
    <row r="122" spans="1:17" x14ac:dyDescent="0.3">
      <c r="A122" s="53"/>
      <c r="B122" s="54" t="s">
        <v>796</v>
      </c>
      <c r="C122" s="54"/>
      <c r="D122" s="54"/>
      <c r="E122" s="54"/>
      <c r="F122" s="54"/>
      <c r="G122" s="54"/>
      <c r="H122" s="54"/>
      <c r="I122" s="54"/>
      <c r="J122" s="54"/>
      <c r="K122" s="435"/>
      <c r="L122" s="436"/>
      <c r="M122" s="436"/>
      <c r="N122" s="436"/>
      <c r="O122" s="437"/>
      <c r="Q122" s="230"/>
    </row>
    <row r="123" spans="1:17" x14ac:dyDescent="0.3">
      <c r="A123" s="53"/>
      <c r="B123" s="54" t="s">
        <v>605</v>
      </c>
      <c r="C123" s="54"/>
      <c r="D123" s="54"/>
      <c r="E123" s="54"/>
      <c r="F123" s="54"/>
      <c r="G123" s="54"/>
      <c r="H123" s="54"/>
      <c r="I123" s="54"/>
      <c r="J123" s="54"/>
      <c r="K123" s="435"/>
      <c r="L123" s="436"/>
      <c r="M123" s="436"/>
      <c r="N123" s="436"/>
      <c r="O123" s="437"/>
      <c r="Q123" s="230"/>
    </row>
    <row r="124" spans="1:17" x14ac:dyDescent="0.3">
      <c r="A124" s="55"/>
      <c r="B124" s="182"/>
      <c r="C124" s="77"/>
      <c r="D124" s="77"/>
      <c r="E124" s="77"/>
      <c r="F124" s="77"/>
      <c r="G124" s="77"/>
      <c r="H124" s="77"/>
      <c r="I124" s="77"/>
      <c r="J124" s="77"/>
      <c r="K124" s="429"/>
      <c r="L124" s="430"/>
      <c r="M124" s="430"/>
      <c r="N124" s="430"/>
      <c r="O124" s="431"/>
    </row>
    <row r="125" spans="1:17" x14ac:dyDescent="0.3">
      <c r="A125" s="20"/>
      <c r="B125" s="233"/>
      <c r="C125" s="54"/>
      <c r="D125" s="54"/>
      <c r="E125" s="54"/>
      <c r="F125" s="54"/>
      <c r="G125" s="54"/>
      <c r="H125" s="54"/>
      <c r="I125" s="54"/>
      <c r="J125" s="54"/>
      <c r="K125" s="54"/>
      <c r="L125" s="54"/>
      <c r="M125" s="54"/>
      <c r="N125" s="54"/>
      <c r="O125" s="54"/>
    </row>
    <row r="126" spans="1:17" x14ac:dyDescent="0.3">
      <c r="A126" s="56" t="s">
        <v>232</v>
      </c>
      <c r="B126" s="57"/>
      <c r="C126" s="57"/>
      <c r="D126" s="57"/>
      <c r="E126" s="57"/>
      <c r="F126" s="57"/>
      <c r="G126" s="57"/>
      <c r="H126" s="57"/>
      <c r="I126" s="57"/>
      <c r="J126" s="57"/>
      <c r="K126" s="57"/>
      <c r="L126" s="57"/>
      <c r="M126" s="57"/>
      <c r="N126" s="57"/>
      <c r="O126" s="57"/>
    </row>
    <row r="127" spans="1:17" x14ac:dyDescent="0.3">
      <c r="O127" s="234"/>
      <c r="P127" s="233"/>
    </row>
    <row r="128" spans="1:17" x14ac:dyDescent="0.3">
      <c r="A128" s="208" t="s">
        <v>233</v>
      </c>
      <c r="B128" s="208"/>
      <c r="C128" s="208"/>
      <c r="D128" s="208"/>
      <c r="F128" s="54"/>
      <c r="G128" s="54"/>
      <c r="H128" s="54"/>
      <c r="I128" s="26"/>
      <c r="J128" s="54"/>
      <c r="K128" s="54"/>
      <c r="L128" s="26"/>
      <c r="M128" s="54"/>
      <c r="N128" s="54"/>
      <c r="O128" s="54"/>
    </row>
    <row r="129" spans="1:16" x14ac:dyDescent="0.3">
      <c r="A129" s="58" t="s">
        <v>48</v>
      </c>
      <c r="B129" s="188"/>
      <c r="C129" s="254"/>
      <c r="D129" s="197"/>
      <c r="E129" s="198"/>
      <c r="F129" s="58" t="s">
        <v>143</v>
      </c>
      <c r="G129" s="54"/>
      <c r="H129" s="54"/>
      <c r="I129" s="54"/>
      <c r="J129" s="54"/>
      <c r="K129" s="146"/>
      <c r="L129" s="54"/>
      <c r="M129" s="54"/>
      <c r="N129" s="54"/>
      <c r="O129" s="54"/>
    </row>
    <row r="130" spans="1:16" x14ac:dyDescent="0.3">
      <c r="A130" s="60"/>
      <c r="B130" s="207"/>
      <c r="C130" s="255"/>
      <c r="D130" s="57"/>
      <c r="E130" s="192"/>
      <c r="F130" s="60" t="s">
        <v>130</v>
      </c>
    </row>
    <row r="131" spans="1:16" x14ac:dyDescent="0.3">
      <c r="A131" s="144">
        <v>1</v>
      </c>
      <c r="B131" s="256" t="s">
        <v>303</v>
      </c>
      <c r="C131" s="257"/>
      <c r="D131" s="234"/>
      <c r="E131" s="237"/>
      <c r="F131" s="110"/>
    </row>
    <row r="132" spans="1:16" x14ac:dyDescent="0.3">
      <c r="A132" s="242">
        <v>2</v>
      </c>
      <c r="B132" s="258" t="s">
        <v>485</v>
      </c>
      <c r="C132" s="239"/>
      <c r="D132" s="233"/>
      <c r="E132" s="246"/>
      <c r="F132" s="111"/>
    </row>
    <row r="133" spans="1:16" x14ac:dyDescent="0.3">
      <c r="A133" s="145">
        <v>3</v>
      </c>
      <c r="B133" s="251" t="s">
        <v>234</v>
      </c>
      <c r="C133" s="183"/>
      <c r="D133" s="182"/>
      <c r="E133" s="252"/>
      <c r="F133" s="112"/>
    </row>
    <row r="136" spans="1:16" ht="18" x14ac:dyDescent="0.35">
      <c r="A136" s="46" t="s">
        <v>396</v>
      </c>
      <c r="B136" s="48"/>
      <c r="C136" s="48"/>
      <c r="D136" s="48"/>
      <c r="E136" s="135" t="s">
        <v>471</v>
      </c>
      <c r="F136" s="48"/>
      <c r="G136" s="48"/>
      <c r="H136" s="48"/>
      <c r="I136" s="48"/>
      <c r="J136" s="48"/>
      <c r="K136" s="48"/>
      <c r="L136" s="48"/>
      <c r="M136" s="48"/>
      <c r="N136" s="48"/>
      <c r="O136" s="48"/>
      <c r="P136" s="54"/>
    </row>
    <row r="138" spans="1:16" x14ac:dyDescent="0.3">
      <c r="A138" s="49" t="s">
        <v>406</v>
      </c>
      <c r="B138" s="50"/>
      <c r="C138" s="50"/>
      <c r="D138" s="50"/>
      <c r="E138" s="50"/>
      <c r="F138" s="50"/>
      <c r="G138" s="50"/>
      <c r="H138" s="50"/>
      <c r="I138" s="50"/>
      <c r="J138" s="50"/>
      <c r="K138" s="73" t="s">
        <v>96</v>
      </c>
      <c r="L138" s="50"/>
      <c r="M138" s="50"/>
      <c r="N138" s="50"/>
      <c r="O138" s="50"/>
    </row>
    <row r="139" spans="1:16" x14ac:dyDescent="0.3">
      <c r="A139" s="51" t="s">
        <v>44</v>
      </c>
      <c r="B139" s="52" t="s">
        <v>88</v>
      </c>
      <c r="C139" s="52"/>
      <c r="D139" s="52"/>
      <c r="E139" s="52"/>
      <c r="F139" s="52"/>
      <c r="G139" s="52"/>
      <c r="H139" s="52"/>
      <c r="I139" s="52"/>
      <c r="J139" s="52"/>
      <c r="K139" s="432"/>
      <c r="L139" s="433"/>
      <c r="M139" s="433"/>
      <c r="N139" s="433"/>
      <c r="O139" s="434"/>
    </row>
    <row r="140" spans="1:16" x14ac:dyDescent="0.3">
      <c r="A140" s="53" t="s">
        <v>45</v>
      </c>
      <c r="B140" s="54" t="s">
        <v>148</v>
      </c>
      <c r="C140" s="54"/>
      <c r="D140" s="54"/>
      <c r="E140" s="54"/>
      <c r="F140" s="54"/>
      <c r="G140" s="54"/>
      <c r="H140" s="54"/>
      <c r="I140" s="54"/>
      <c r="J140" s="54"/>
      <c r="K140" s="435"/>
      <c r="L140" s="436"/>
      <c r="M140" s="436"/>
      <c r="N140" s="436"/>
      <c r="O140" s="437"/>
    </row>
    <row r="141" spans="1:16" x14ac:dyDescent="0.3">
      <c r="A141" s="53" t="s">
        <v>46</v>
      </c>
      <c r="B141" s="233" t="s">
        <v>558</v>
      </c>
      <c r="C141" s="54"/>
      <c r="D141" s="54"/>
      <c r="E141" s="54"/>
      <c r="F141" s="54"/>
      <c r="G141" s="54"/>
      <c r="H141" s="54"/>
      <c r="I141" s="54"/>
      <c r="J141" s="54"/>
      <c r="K141" s="435"/>
      <c r="L141" s="436"/>
      <c r="M141" s="436"/>
      <c r="N141" s="436"/>
      <c r="O141" s="437"/>
    </row>
    <row r="142" spans="1:16" x14ac:dyDescent="0.3">
      <c r="A142" s="53" t="s">
        <v>47</v>
      </c>
      <c r="B142" s="233" t="s">
        <v>409</v>
      </c>
      <c r="C142" s="54"/>
      <c r="D142" s="54"/>
      <c r="E142" s="54"/>
      <c r="F142" s="54"/>
      <c r="G142" s="54"/>
      <c r="H142" s="54"/>
      <c r="I142" s="54"/>
      <c r="J142" s="54"/>
      <c r="K142" s="435"/>
      <c r="L142" s="436"/>
      <c r="M142" s="436"/>
      <c r="N142" s="436"/>
      <c r="O142" s="437"/>
    </row>
    <row r="143" spans="1:16" x14ac:dyDescent="0.3">
      <c r="A143" s="53"/>
      <c r="B143" s="233" t="s">
        <v>752</v>
      </c>
      <c r="C143" s="54"/>
      <c r="D143" s="54"/>
      <c r="E143" s="54"/>
      <c r="F143" s="54"/>
      <c r="G143" s="54"/>
      <c r="H143" s="54"/>
      <c r="I143" s="54"/>
      <c r="J143" s="54"/>
      <c r="K143" s="435"/>
      <c r="L143" s="436"/>
      <c r="M143" s="436"/>
      <c r="N143" s="436"/>
      <c r="O143" s="437"/>
    </row>
    <row r="144" spans="1:16" x14ac:dyDescent="0.3">
      <c r="A144" s="55"/>
      <c r="B144" s="182"/>
      <c r="C144" s="77"/>
      <c r="D144" s="77"/>
      <c r="E144" s="77"/>
      <c r="F144" s="77"/>
      <c r="G144" s="77"/>
      <c r="H144" s="77"/>
      <c r="I144" s="77"/>
      <c r="J144" s="77"/>
      <c r="K144" s="429"/>
      <c r="L144" s="430"/>
      <c r="M144" s="430"/>
      <c r="N144" s="430"/>
      <c r="O144" s="431"/>
    </row>
    <row r="145" spans="1:16" x14ac:dyDescent="0.3">
      <c r="A145" s="20"/>
      <c r="B145" s="233"/>
      <c r="C145" s="54"/>
      <c r="D145" s="54"/>
      <c r="E145" s="54"/>
      <c r="F145" s="54"/>
      <c r="G145" s="54"/>
      <c r="H145" s="54"/>
      <c r="I145" s="54"/>
      <c r="J145" s="54"/>
      <c r="K145" s="54"/>
      <c r="L145" s="54"/>
      <c r="M145" s="54"/>
      <c r="N145" s="54"/>
      <c r="O145" s="54"/>
    </row>
    <row r="146" spans="1:16" x14ac:dyDescent="0.3">
      <c r="A146" s="56" t="s">
        <v>151</v>
      </c>
      <c r="B146" s="57"/>
      <c r="C146" s="57"/>
      <c r="D146" s="57"/>
      <c r="E146" s="57"/>
      <c r="F146" s="57"/>
      <c r="G146" s="57"/>
      <c r="H146" s="57"/>
      <c r="I146" s="57"/>
      <c r="J146" s="57"/>
      <c r="K146" s="57"/>
      <c r="L146" s="57"/>
      <c r="M146" s="57"/>
      <c r="N146" s="57"/>
      <c r="O146" s="57"/>
    </row>
    <row r="147" spans="1:16" x14ac:dyDescent="0.3">
      <c r="O147" s="234"/>
      <c r="P147" s="233"/>
    </row>
    <row r="148" spans="1:16" x14ac:dyDescent="0.3">
      <c r="A148" s="208" t="s">
        <v>410</v>
      </c>
      <c r="B148" s="208"/>
      <c r="C148" s="208"/>
      <c r="D148" s="208"/>
      <c r="F148" s="54"/>
      <c r="G148" s="54"/>
      <c r="H148" s="54"/>
      <c r="I148" s="26"/>
      <c r="J148" s="54"/>
      <c r="K148" s="54"/>
      <c r="L148" s="26"/>
      <c r="M148" s="54"/>
      <c r="N148" s="54"/>
      <c r="O148" s="54"/>
    </row>
    <row r="149" spans="1:16" x14ac:dyDescent="0.3">
      <c r="A149" s="58" t="s">
        <v>48</v>
      </c>
      <c r="B149" s="188" t="s">
        <v>606</v>
      </c>
      <c r="C149" s="254"/>
      <c r="D149" s="198"/>
      <c r="E149" s="58" t="s">
        <v>143</v>
      </c>
      <c r="F149" s="58" t="s">
        <v>474</v>
      </c>
      <c r="G149" s="54"/>
      <c r="H149" s="54"/>
      <c r="I149" s="54"/>
      <c r="J149" s="54"/>
      <c r="K149" s="146"/>
      <c r="L149" s="54"/>
      <c r="M149" s="54"/>
      <c r="N149" s="54"/>
      <c r="O149" s="54"/>
    </row>
    <row r="150" spans="1:16" x14ac:dyDescent="0.3">
      <c r="A150" s="60"/>
      <c r="B150" s="207"/>
      <c r="C150" s="255"/>
      <c r="D150" s="192"/>
      <c r="E150" s="60" t="s">
        <v>412</v>
      </c>
      <c r="F150" s="59" t="s">
        <v>477</v>
      </c>
      <c r="H150" s="47"/>
      <c r="I150" s="47"/>
      <c r="K150" s="230"/>
    </row>
    <row r="151" spans="1:16" x14ac:dyDescent="0.3">
      <c r="A151" s="144">
        <v>1</v>
      </c>
      <c r="B151" s="256" t="s">
        <v>411</v>
      </c>
      <c r="C151" s="257"/>
      <c r="D151" s="237"/>
      <c r="E151" s="110"/>
      <c r="F151" s="240" t="s">
        <v>475</v>
      </c>
      <c r="H151" s="47"/>
      <c r="I151" s="47"/>
      <c r="K151" s="230"/>
    </row>
    <row r="152" spans="1:16" x14ac:dyDescent="0.3">
      <c r="A152" s="243">
        <v>2</v>
      </c>
      <c r="B152" s="251" t="s">
        <v>411</v>
      </c>
      <c r="C152" s="183"/>
      <c r="D152" s="259"/>
      <c r="E152" s="112"/>
      <c r="F152" s="243" t="s">
        <v>476</v>
      </c>
      <c r="H152" s="54"/>
      <c r="I152" s="54"/>
    </row>
    <row r="153" spans="1:16" x14ac:dyDescent="0.3">
      <c r="H153" s="54"/>
      <c r="I153" s="54"/>
      <c r="K153" s="230"/>
    </row>
    <row r="154" spans="1:16" x14ac:dyDescent="0.3">
      <c r="H154" s="54"/>
      <c r="I154" s="54"/>
      <c r="K154" s="230"/>
    </row>
    <row r="155" spans="1:16" x14ac:dyDescent="0.3">
      <c r="H155" s="54"/>
      <c r="I155" s="54" t="s">
        <v>566</v>
      </c>
      <c r="K155" s="230"/>
    </row>
    <row r="156" spans="1:16" x14ac:dyDescent="0.3">
      <c r="H156" s="54"/>
      <c r="I156" s="54"/>
      <c r="K156" s="230"/>
    </row>
    <row r="157" spans="1:16" x14ac:dyDescent="0.3">
      <c r="H157" s="54"/>
      <c r="I157" s="54"/>
    </row>
    <row r="158" spans="1:16" x14ac:dyDescent="0.3">
      <c r="H158" s="54"/>
      <c r="I158" s="54"/>
    </row>
    <row r="159" spans="1:16" x14ac:dyDescent="0.3">
      <c r="H159" s="239"/>
      <c r="I159" s="54"/>
    </row>
    <row r="160" spans="1:16" x14ac:dyDescent="0.3">
      <c r="H160" s="54"/>
      <c r="I160" s="54"/>
    </row>
    <row r="161" spans="8:9" x14ac:dyDescent="0.3">
      <c r="H161" s="54"/>
      <c r="I161" s="54"/>
    </row>
  </sheetData>
  <sheetProtection sheet="1" objects="1" scenarios="1"/>
  <mergeCells count="78">
    <mergeCell ref="K20:O20"/>
    <mergeCell ref="K12:O12"/>
    <mergeCell ref="K13:O13"/>
    <mergeCell ref="K14:O14"/>
    <mergeCell ref="K15:O15"/>
    <mergeCell ref="K17:O17"/>
    <mergeCell ref="K19:O19"/>
    <mergeCell ref="K16:O16"/>
    <mergeCell ref="K18:O18"/>
    <mergeCell ref="I1:K1"/>
    <mergeCell ref="I2:K2"/>
    <mergeCell ref="I3:K3"/>
    <mergeCell ref="I4:K4"/>
    <mergeCell ref="I5:K5"/>
    <mergeCell ref="N1:O1"/>
    <mergeCell ref="N2:O2"/>
    <mergeCell ref="N3:O3"/>
    <mergeCell ref="N4:O4"/>
    <mergeCell ref="N5:O5"/>
    <mergeCell ref="C1:E1"/>
    <mergeCell ref="C2:E2"/>
    <mergeCell ref="C3:E3"/>
    <mergeCell ref="C4:E4"/>
    <mergeCell ref="C5:E5"/>
    <mergeCell ref="K82:O82"/>
    <mergeCell ref="K83:O83"/>
    <mergeCell ref="K84:O84"/>
    <mergeCell ref="K90:O90"/>
    <mergeCell ref="K85:O85"/>
    <mergeCell ref="K86:O86"/>
    <mergeCell ref="K87:O87"/>
    <mergeCell ref="K88:O88"/>
    <mergeCell ref="K89:O89"/>
    <mergeCell ref="K21:O21"/>
    <mergeCell ref="K22:O22"/>
    <mergeCell ref="K41:O41"/>
    <mergeCell ref="K42:O42"/>
    <mergeCell ref="K57:O57"/>
    <mergeCell ref="K43:O43"/>
    <mergeCell ref="K44:O44"/>
    <mergeCell ref="K45:O45"/>
    <mergeCell ref="K46:O46"/>
    <mergeCell ref="K47:O47"/>
    <mergeCell ref="K48:O48"/>
    <mergeCell ref="K49:O49"/>
    <mergeCell ref="K50:O50"/>
    <mergeCell ref="K51:O51"/>
    <mergeCell ref="K52:O52"/>
    <mergeCell ref="K53:O53"/>
    <mergeCell ref="K124:O124"/>
    <mergeCell ref="K91:O91"/>
    <mergeCell ref="K92:O92"/>
    <mergeCell ref="K114:O114"/>
    <mergeCell ref="K116:O116"/>
    <mergeCell ref="K117:O117"/>
    <mergeCell ref="K118:O118"/>
    <mergeCell ref="K119:O119"/>
    <mergeCell ref="K120:O120"/>
    <mergeCell ref="K121:O121"/>
    <mergeCell ref="K122:O122"/>
    <mergeCell ref="K123:O123"/>
    <mergeCell ref="K93:O93"/>
    <mergeCell ref="K113:O113"/>
    <mergeCell ref="K115:O115"/>
    <mergeCell ref="K144:O144"/>
    <mergeCell ref="K139:O139"/>
    <mergeCell ref="K140:O140"/>
    <mergeCell ref="K141:O141"/>
    <mergeCell ref="K142:O142"/>
    <mergeCell ref="K143:O143"/>
    <mergeCell ref="K54:O54"/>
    <mergeCell ref="K55:O55"/>
    <mergeCell ref="K56:O56"/>
    <mergeCell ref="K80:O80"/>
    <mergeCell ref="K81:O81"/>
    <mergeCell ref="K77:O77"/>
    <mergeCell ref="K79:O79"/>
    <mergeCell ref="K78:O78"/>
  </mergeCells>
  <conditionalFormatting sqref="E67:E71">
    <cfRule type="cellIs" dxfId="181" priority="45" operator="equal">
      <formula>"Kontakt MFE"</formula>
    </cfRule>
    <cfRule type="cellIs" dxfId="180" priority="46" operator="equal">
      <formula>"OK"</formula>
    </cfRule>
  </conditionalFormatting>
  <conditionalFormatting sqref="E151:E152">
    <cfRule type="cellIs" dxfId="179" priority="29" operator="equal">
      <formula>"nej"</formula>
    </cfRule>
    <cfRule type="cellIs" dxfId="178" priority="30" operator="equal">
      <formula>"ja"</formula>
    </cfRule>
  </conditionalFormatting>
  <conditionalFormatting sqref="F33:F34">
    <cfRule type="cellIs" dxfId="177" priority="51" operator="equal">
      <formula>"IKKE OK"</formula>
    </cfRule>
    <cfRule type="cellIs" dxfId="176" priority="52" operator="equal">
      <formula>"OK"</formula>
    </cfRule>
  </conditionalFormatting>
  <conditionalFormatting sqref="F131:F133">
    <cfRule type="cellIs" dxfId="175" priority="35" operator="equal">
      <formula>"IKKE OK"</formula>
    </cfRule>
    <cfRule type="cellIs" dxfId="174" priority="36" operator="equal">
      <formula>"OK"</formula>
    </cfRule>
  </conditionalFormatting>
  <conditionalFormatting sqref="F106:H107">
    <cfRule type="cellIs" dxfId="173" priority="31" operator="equal">
      <formula>"IKKE OK"</formula>
    </cfRule>
    <cfRule type="cellIs" dxfId="172" priority="32" operator="equal">
      <formula>"OK"</formula>
    </cfRule>
  </conditionalFormatting>
  <conditionalFormatting sqref="J67:J71">
    <cfRule type="cellIs" dxfId="171" priority="23" operator="equal">
      <formula>"Kontakt MFE"</formula>
    </cfRule>
    <cfRule type="cellIs" dxfId="170" priority="24" operator="equal">
      <formula>"OK"</formula>
    </cfRule>
  </conditionalFormatting>
  <conditionalFormatting sqref="N33:N35">
    <cfRule type="cellIs" dxfId="169" priority="1" operator="equal">
      <formula>"IKKE OK"</formula>
    </cfRule>
    <cfRule type="cellIs" dxfId="168" priority="2" operator="equal">
      <formula>"OK"</formula>
    </cfRule>
  </conditionalFormatting>
  <pageMargins left="0.7" right="0.7" top="0.75" bottom="0.75" header="0.3" footer="0.3"/>
  <pageSetup paperSize="9" orientation="portrait" r:id="rId1"/>
  <ignoredErrors>
    <ignoredError sqref="N4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6" id="{CBD59932-731E-4810-93CD-88C52A1761EF}">
            <xm:f>OR(Oplysningsside!$B$15="C bue",Oplysningsside!$B$15="Mini C bue",Oplysningsside!$B$15="Intervention")</xm:f>
            <x14:dxf>
              <font>
                <color theme="0"/>
              </font>
              <fill>
                <patternFill patternType="none">
                  <bgColor auto="1"/>
                </patternFill>
              </fill>
              <border>
                <left style="thin">
                  <color auto="1"/>
                </left>
                <right style="thin">
                  <color auto="1"/>
                </right>
                <top/>
                <bottom style="thin">
                  <color auto="1"/>
                </bottom>
                <vertical/>
                <horizontal/>
              </border>
            </x14:dxf>
          </x14:cfRule>
          <xm:sqref>A63</xm:sqref>
        </x14:conditionalFormatting>
        <x14:conditionalFormatting xmlns:xm="http://schemas.microsoft.com/office/excel/2006/main">
          <x14:cfRule type="expression" priority="6" id="{AB217CA3-DEEC-4831-AB27-663688C7C863}">
            <xm:f>OR(Oplysningsside!$B$15="C bue",Oplysningsside!$B$15="Mini C bue",Oplysningsside!$B$15="Intervention")</xm:f>
            <x14:dxf>
              <font>
                <color theme="0"/>
              </font>
              <fill>
                <patternFill patternType="none">
                  <bgColor auto="1"/>
                </patternFill>
              </fill>
              <border>
                <left style="thin">
                  <color auto="1"/>
                </left>
                <right style="thin">
                  <color auto="1"/>
                </right>
                <top/>
                <bottom style="thin">
                  <color auto="1"/>
                </bottom>
              </border>
            </x14:dxf>
          </x14:cfRule>
          <xm:sqref>A152</xm:sqref>
        </x14:conditionalFormatting>
        <x14:conditionalFormatting xmlns:xm="http://schemas.microsoft.com/office/excel/2006/main">
          <x14:cfRule type="expression" priority="25" id="{564CA301-A9C6-4EEC-9178-5FC52C396966}">
            <xm:f>OR(Oplysningsside!$B$15="C bue",Oplysningsside!$B$15="Mini C bue",Oplysningsside!$B$1%="Intervention")</xm:f>
            <x14:dxf>
              <font>
                <color theme="0"/>
              </font>
              <fill>
                <patternFill patternType="none">
                  <fgColor auto="1"/>
                  <bgColor auto="1"/>
                </patternFill>
              </fill>
            </x14:dxf>
          </x14:cfRule>
          <xm:sqref>A34:C34</xm:sqref>
        </x14:conditionalFormatting>
        <x14:conditionalFormatting xmlns:xm="http://schemas.microsoft.com/office/excel/2006/main">
          <x14:cfRule type="expression" priority="13" id="{8927AADF-ED37-4F69-BCD4-3F256224581F}">
            <xm:f>OR(Oplysningsside!$B$15="C bue",Oplysningsside!$B$15="Mini C bue",Oplysningsside!$B$15="Intervention",Oplysningsside!$B$15="R/F system")</xm:f>
            <x14:dxf>
              <font>
                <color theme="0"/>
              </font>
              <fill>
                <patternFill patternType="none">
                  <bgColor auto="1"/>
                </patternFill>
              </fill>
              <border>
                <left style="thin">
                  <color auto="1"/>
                </left>
                <right style="thin">
                  <color auto="1"/>
                </right>
                <top/>
                <bottom style="thin">
                  <color auto="1"/>
                </bottom>
              </border>
            </x14:dxf>
          </x14:cfRule>
          <xm:sqref>A107:H107</xm:sqref>
        </x14:conditionalFormatting>
        <x14:conditionalFormatting xmlns:xm="http://schemas.microsoft.com/office/excel/2006/main">
          <x14:cfRule type="expression" priority="15" id="{7AA29530-411B-4D13-8893-9A7E4CADA239}">
            <xm:f>OR(Oplysningsside!$B$15="C bue",Oplysningsside!$B$15="Mini C bue",Oplysningsside!$B$15="Intervention")</xm:f>
            <x14:dxf>
              <font>
                <color theme="0"/>
              </font>
              <fill>
                <patternFill patternType="none">
                  <bgColor auto="1"/>
                </patternFill>
              </fill>
              <border>
                <left style="thin">
                  <color auto="1"/>
                </left>
                <right/>
                <top/>
                <bottom style="thin">
                  <color auto="1"/>
                </bottom>
                <vertical/>
                <horizontal/>
              </border>
            </x14:dxf>
          </x14:cfRule>
          <xm:sqref>B63</xm:sqref>
        </x14:conditionalFormatting>
        <x14:conditionalFormatting xmlns:xm="http://schemas.microsoft.com/office/excel/2006/main">
          <x14:cfRule type="expression" priority="8" id="{3A3ABC71-263A-47FF-9514-9535A08DA58E}">
            <xm:f>OR(Oplysningsside!$B$15="C bue",Oplysningsside!$B$15="Mini C bue",Oplysningsside!$B$15="Intervention")</xm:f>
            <x14:dxf>
              <font>
                <color theme="0"/>
              </font>
              <fill>
                <patternFill patternType="none">
                  <bgColor auto="1"/>
                </patternFill>
              </fill>
              <border>
                <left style="thin">
                  <color auto="1"/>
                </left>
                <right/>
                <top/>
                <bottom style="thin">
                  <color auto="1"/>
                </bottom>
              </border>
            </x14:dxf>
          </x14:cfRule>
          <xm:sqref>B152</xm:sqref>
        </x14:conditionalFormatting>
        <x14:conditionalFormatting xmlns:xm="http://schemas.microsoft.com/office/excel/2006/main">
          <x14:cfRule type="expression" priority="20" id="{43C9BCEF-AF0F-4F41-A040-CFBF63FCFDEB}">
            <xm:f>OR(Oplysningsside!$B$15="C bue",Oplysningsside!$B$15="Mini C bue",Oplysningsside!$B$15="Intervention")</xm:f>
            <x14:dxf>
              <font>
                <color theme="0"/>
              </font>
              <fill>
                <patternFill patternType="none">
                  <bgColor auto="1"/>
                </patternFill>
              </fill>
              <border>
                <left/>
                <right/>
                <top/>
                <bottom style="thin">
                  <color auto="1"/>
                </bottom>
                <vertical/>
                <horizontal/>
              </border>
            </x14:dxf>
          </x14:cfRule>
          <xm:sqref>C63:E63</xm:sqref>
        </x14:conditionalFormatting>
        <x14:conditionalFormatting xmlns:xm="http://schemas.microsoft.com/office/excel/2006/main">
          <x14:cfRule type="expression" priority="5" id="{E00AF743-0AEA-47D2-9B0B-F648A4512977}">
            <xm:f>OR(Oplysningsside!$B$15="C bue",Oplysningsside!$B$15="Mini C bue",Oplysningsside!$B$15="Intervention")</xm:f>
            <x14:dxf>
              <font>
                <color theme="0"/>
              </font>
              <fill>
                <patternFill patternType="none">
                  <bgColor auto="1"/>
                </patternFill>
              </fill>
              <border>
                <left style="thin">
                  <color auto="1"/>
                </left>
                <right style="thin">
                  <color auto="1"/>
                </right>
                <top/>
                <bottom style="thin">
                  <color auto="1"/>
                </bottom>
                <vertical/>
                <horizontal/>
              </border>
            </x14:dxf>
          </x14:cfRule>
          <xm:sqref>E152</xm:sqref>
        </x14:conditionalFormatting>
        <x14:conditionalFormatting xmlns:xm="http://schemas.microsoft.com/office/excel/2006/main">
          <x14:cfRule type="expression" priority="22" id="{291021B6-24C7-4EFA-B718-07966CA4A258}">
            <xm:f>OR(Oplysningsside!$B$15="C bue",Oplysningsside!$B$15="Mini C bue",Oplysningsside!$B$15="Intervention",Oplysningsside!$B$15="R/F system")</xm:f>
            <x14:dxf>
              <font>
                <color theme="0"/>
              </font>
              <fill>
                <patternFill patternType="solid">
                  <bgColor theme="0" tint="-4.9989318521683403E-2"/>
                </patternFill>
              </fill>
              <border>
                <left style="thin">
                  <color auto="1"/>
                </left>
                <right/>
                <top/>
                <bottom/>
                <vertical/>
                <horizontal/>
              </border>
            </x14:dxf>
          </x14:cfRule>
          <xm:sqref>F61:F71</xm:sqref>
        </x14:conditionalFormatting>
        <x14:conditionalFormatting xmlns:xm="http://schemas.microsoft.com/office/excel/2006/main">
          <x14:cfRule type="expression" priority="28" id="{EFCE3338-8A05-4522-8646-6B7A8547D6CC}">
            <xm:f>OR(Oplysningsside!$B$15="C bue",Oplysningsside!$B$15="Mini C bue",Oplysningsside!$B$15="Intervention")</xm:f>
            <x14:dxf>
              <font>
                <color theme="0"/>
              </font>
              <fill>
                <patternFill patternType="solid">
                  <bgColor theme="0" tint="-4.9989318521683403E-2"/>
                </patternFill>
              </fill>
              <border>
                <left style="thin">
                  <color auto="1"/>
                </left>
                <right/>
                <top/>
                <bottom/>
              </border>
            </x14:dxf>
          </x14:cfRule>
          <xm:sqref>F149:F152</xm:sqref>
        </x14:conditionalFormatting>
        <x14:conditionalFormatting xmlns:xm="http://schemas.microsoft.com/office/excel/2006/main">
          <x14:cfRule type="expression" priority="4" id="{A2B5616D-1B5C-40E6-941C-85584A0E94AB}">
            <xm:f>OR(Oplysningsside!$B$15="C bue",Oplysningsside!$B$15="Mini C bue",Oplysningsside!$B$15="Intervention",Oplysningsside!$B$15="R/F system")</xm:f>
            <x14:dxf>
              <font>
                <color theme="0"/>
              </font>
              <fill>
                <patternFill patternType="solid">
                  <bgColor theme="0" tint="-4.9989318521683403E-2"/>
                </patternFill>
              </fill>
              <border>
                <left style="thin">
                  <color auto="1"/>
                </left>
                <right/>
                <top/>
                <bottom/>
                <vertical/>
                <horizontal/>
              </border>
            </x14:dxf>
          </x14:cfRule>
          <xm:sqref>G29:G35</xm:sqref>
        </x14:conditionalFormatting>
        <x14:conditionalFormatting xmlns:xm="http://schemas.microsoft.com/office/excel/2006/main">
          <x14:cfRule type="expression" priority="17" id="{F4F3CE2B-A610-46F7-876B-DF43B9DC7FCB}">
            <xm:f>OR(Oplysningsside!$B$15="C bue",Oplysningsside!$B$15="Mini C bue",Oplysningsside!$B$15="Intervention",Oplysningsside!$B$15="R/F system")</xm:f>
            <x14:dxf>
              <font>
                <color theme="0"/>
              </font>
              <fill>
                <patternFill patternType="solid">
                  <bgColor theme="0" tint="-4.9989318521683403E-2"/>
                </patternFill>
              </fill>
              <border>
                <left/>
                <right/>
                <top/>
                <bottom/>
                <vertical/>
                <horizontal/>
              </border>
            </x14:dxf>
          </x14:cfRule>
          <xm:sqref>G61:J71</xm:sqref>
        </x14:conditionalFormatting>
        <x14:conditionalFormatting xmlns:xm="http://schemas.microsoft.com/office/excel/2006/main">
          <x14:cfRule type="expression" priority="3" id="{EBBF18A2-B16B-4209-9C1A-01C6F630701A}">
            <xm:f>OR(Oplysningsside!$B$15="C bue",Oplysningsside!$B$15="Mini C bue",Oplysningsside!$B$15="Intervention",Oplysningsside!$B$15="R/F system")</xm:f>
            <x14:dxf>
              <font>
                <color theme="0"/>
              </font>
              <fill>
                <patternFill patternType="solid">
                  <bgColor theme="0" tint="-4.9989318521683403E-2"/>
                </patternFill>
              </fill>
              <border>
                <left style="thin">
                  <color auto="1"/>
                </left>
                <right/>
                <top/>
                <bottom/>
                <vertical/>
                <horizontal/>
              </border>
            </x14:dxf>
          </x14:cfRule>
          <xm:sqref>I98:I107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1E459C25-C703-41BE-9103-58969278DC45}">
          <x14:formula1>
            <xm:f>Data!$A$5:$A$8</xm:f>
          </x14:formula1>
          <xm:sqref>E151:E152</xm:sqref>
        </x14:dataValidation>
        <x14:dataValidation type="list" allowBlank="1" showInputMessage="1" showErrorMessage="1" xr:uid="{D88219EE-3797-4BF6-A95A-D9FAF34E9CC6}">
          <x14:formula1>
            <xm:f>Data!$L$5:$L$7</xm:f>
          </x14:formula1>
          <xm:sqref>A99 F62 A62</xm:sqref>
        </x14:dataValidation>
        <x14:dataValidation type="list" allowBlank="1" showInputMessage="1" showErrorMessage="1" xr:uid="{96023D49-E90C-4CCC-90A7-DCDACE0DB89C}">
          <x14:formula1>
            <xm:f>Data!$I$18:$I$21</xm:f>
          </x14:formula1>
          <xm:sqref>F131:F133</xm:sqref>
        </x14:dataValidation>
        <x14:dataValidation type="list" allowBlank="1" showInputMessage="1" showErrorMessage="1" xr:uid="{52568309-7994-4E59-B45B-B5408C9BE44B}">
          <x14:formula1>
            <xm:f>Data!$A$10:$A$13</xm:f>
          </x14:formula1>
          <xm:sqref>G106:H107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F16CED-9A78-4A9B-885B-3A213E9E80FF}">
  <sheetPr>
    <tabColor rgb="FF92D050"/>
  </sheetPr>
  <dimension ref="A1:P75"/>
  <sheetViews>
    <sheetView zoomScaleNormal="100" workbookViewId="0">
      <selection activeCell="K58" sqref="K58:O58"/>
    </sheetView>
  </sheetViews>
  <sheetFormatPr defaultColWidth="9.109375" defaultRowHeight="14.4" x14ac:dyDescent="0.3"/>
  <cols>
    <col min="1" max="15" width="14.109375" style="184" customWidth="1"/>
    <col min="16" max="16384" width="9.109375" style="184"/>
  </cols>
  <sheetData>
    <row r="1" spans="1:16" x14ac:dyDescent="0.3">
      <c r="A1" s="27" t="s">
        <v>1</v>
      </c>
      <c r="B1" s="28"/>
      <c r="C1" s="444" t="str">
        <f>Oplysningsside!B2</f>
        <v>Region H</v>
      </c>
      <c r="D1" s="444"/>
      <c r="E1" s="444"/>
      <c r="F1" s="28"/>
      <c r="G1" s="30" t="s">
        <v>3</v>
      </c>
      <c r="H1" s="28"/>
      <c r="I1" s="444" t="str">
        <f>Oplysningsside!E2</f>
        <v>Modtagekontrol</v>
      </c>
      <c r="J1" s="444"/>
      <c r="K1" s="444"/>
      <c r="L1" s="30" t="s">
        <v>461</v>
      </c>
      <c r="M1" s="28"/>
      <c r="N1" s="399" t="str">
        <f>Oplysningsside!G2</f>
        <v>GE2</v>
      </c>
      <c r="O1" s="448"/>
    </row>
    <row r="2" spans="1:16" x14ac:dyDescent="0.3">
      <c r="A2" s="32" t="s">
        <v>74</v>
      </c>
      <c r="B2" s="33"/>
      <c r="C2" s="445" t="str">
        <f>Oplysningsside!B3</f>
        <v>HGH Herlev</v>
      </c>
      <c r="D2" s="445"/>
      <c r="E2" s="445"/>
      <c r="F2" s="33"/>
      <c r="G2" s="229" t="s">
        <v>132</v>
      </c>
      <c r="H2" s="229"/>
      <c r="I2" s="445" t="str">
        <f>Oplysningsside!E3</f>
        <v>C bue</v>
      </c>
      <c r="J2" s="445"/>
      <c r="K2" s="445"/>
      <c r="L2" s="35" t="s">
        <v>6</v>
      </c>
      <c r="M2" s="33"/>
      <c r="N2" s="449">
        <f>Oplysningsside!G3</f>
        <v>45475</v>
      </c>
      <c r="O2" s="450"/>
    </row>
    <row r="3" spans="1:16" x14ac:dyDescent="0.3">
      <c r="A3" s="37" t="s">
        <v>73</v>
      </c>
      <c r="B3" s="33"/>
      <c r="C3" s="445" t="str">
        <f>Oplysningsside!B4</f>
        <v>Røntgen</v>
      </c>
      <c r="D3" s="445"/>
      <c r="E3" s="445"/>
      <c r="F3" s="33"/>
      <c r="G3" s="35" t="s">
        <v>5</v>
      </c>
      <c r="H3" s="33"/>
      <c r="I3" s="445" t="str">
        <f>Oplysningsside!E4</f>
        <v>Fluorostar</v>
      </c>
      <c r="J3" s="445"/>
      <c r="K3" s="445"/>
      <c r="L3" s="35" t="s">
        <v>8</v>
      </c>
      <c r="M3" s="33"/>
      <c r="N3" s="400" t="str">
        <f>Oplysningsside!G4</f>
        <v>EHA</v>
      </c>
      <c r="O3" s="451"/>
    </row>
    <row r="4" spans="1:16" x14ac:dyDescent="0.3">
      <c r="A4" s="32" t="s">
        <v>9</v>
      </c>
      <c r="B4" s="33"/>
      <c r="C4" s="446" t="str">
        <f>Oplysningsside!B5</f>
        <v>10</v>
      </c>
      <c r="D4" s="446"/>
      <c r="E4" s="446"/>
      <c r="F4" s="33"/>
      <c r="G4" s="35" t="s">
        <v>7</v>
      </c>
      <c r="H4" s="33"/>
      <c r="I4" s="454" t="str">
        <f>Oplysningsside!E5</f>
        <v>1</v>
      </c>
      <c r="J4" s="454"/>
      <c r="K4" s="454"/>
      <c r="L4" s="33" t="s">
        <v>11</v>
      </c>
      <c r="M4" s="33"/>
      <c r="N4" s="449">
        <f>Oplysningsside!G5</f>
        <v>45476</v>
      </c>
      <c r="O4" s="450"/>
    </row>
    <row r="5" spans="1:16" x14ac:dyDescent="0.3">
      <c r="A5" s="8" t="s">
        <v>585</v>
      </c>
      <c r="B5" s="38"/>
      <c r="C5" s="447">
        <f>Oplysningsside!$B$6</f>
        <v>3</v>
      </c>
      <c r="D5" s="447"/>
      <c r="E5" s="447"/>
      <c r="F5" s="38"/>
      <c r="G5" s="9" t="s">
        <v>460</v>
      </c>
      <c r="H5" s="38"/>
      <c r="I5" s="455">
        <f>Oplysningsside!E6</f>
        <v>2</v>
      </c>
      <c r="J5" s="455"/>
      <c r="K5" s="455"/>
      <c r="L5" s="38"/>
      <c r="M5" s="38"/>
      <c r="N5" s="447"/>
      <c r="O5" s="452"/>
    </row>
    <row r="7" spans="1:16" ht="25.8" x14ac:dyDescent="0.5">
      <c r="A7" s="40" t="s">
        <v>210</v>
      </c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3" t="s">
        <v>2</v>
      </c>
      <c r="O7" s="41"/>
    </row>
    <row r="9" spans="1:16" ht="18" x14ac:dyDescent="0.35">
      <c r="A9" s="46" t="s">
        <v>235</v>
      </c>
      <c r="B9" s="48"/>
      <c r="C9" s="48"/>
      <c r="D9" s="48"/>
      <c r="E9" s="46" t="s">
        <v>600</v>
      </c>
      <c r="F9" s="48"/>
      <c r="G9" s="48"/>
      <c r="H9" s="48"/>
      <c r="I9" s="48"/>
      <c r="J9" s="48"/>
      <c r="K9" s="48"/>
      <c r="L9" s="48"/>
      <c r="M9" s="48"/>
      <c r="N9" s="48"/>
      <c r="O9" s="48"/>
      <c r="P9" s="54"/>
    </row>
    <row r="11" spans="1:16" x14ac:dyDescent="0.3">
      <c r="A11" s="49" t="s">
        <v>142</v>
      </c>
      <c r="B11" s="50"/>
      <c r="C11" s="50"/>
      <c r="D11" s="50"/>
      <c r="E11" s="50"/>
      <c r="F11" s="50"/>
      <c r="G11" s="50"/>
      <c r="H11" s="50"/>
      <c r="I11" s="50"/>
      <c r="J11" s="50"/>
      <c r="K11" s="73" t="s">
        <v>96</v>
      </c>
      <c r="L11" s="50"/>
      <c r="M11" s="50"/>
      <c r="N11" s="50"/>
      <c r="O11" s="50"/>
    </row>
    <row r="12" spans="1:16" x14ac:dyDescent="0.3">
      <c r="A12" s="51" t="s">
        <v>44</v>
      </c>
      <c r="B12" s="52" t="s">
        <v>243</v>
      </c>
      <c r="C12" s="52"/>
      <c r="D12" s="52"/>
      <c r="E12" s="52"/>
      <c r="F12" s="52"/>
      <c r="G12" s="52"/>
      <c r="H12" s="52"/>
      <c r="I12" s="52"/>
      <c r="J12" s="52"/>
      <c r="K12" s="432"/>
      <c r="L12" s="433"/>
      <c r="M12" s="433"/>
      <c r="N12" s="433"/>
      <c r="O12" s="434"/>
    </row>
    <row r="13" spans="1:16" x14ac:dyDescent="0.3">
      <c r="A13" s="53" t="s">
        <v>45</v>
      </c>
      <c r="B13" s="54" t="s">
        <v>607</v>
      </c>
      <c r="C13" s="54"/>
      <c r="D13" s="54"/>
      <c r="E13" s="54"/>
      <c r="F13" s="70"/>
      <c r="G13" s="54"/>
      <c r="H13" s="54"/>
      <c r="I13" s="54"/>
      <c r="J13" s="54"/>
      <c r="K13" s="435"/>
      <c r="L13" s="436"/>
      <c r="M13" s="436"/>
      <c r="N13" s="436"/>
      <c r="O13" s="437"/>
    </row>
    <row r="14" spans="1:16" x14ac:dyDescent="0.3">
      <c r="A14" s="53" t="s">
        <v>46</v>
      </c>
      <c r="B14" s="54" t="s">
        <v>150</v>
      </c>
      <c r="C14" s="54"/>
      <c r="D14" s="54"/>
      <c r="E14" s="54"/>
      <c r="F14" s="70"/>
      <c r="G14" s="54"/>
      <c r="H14" s="54"/>
      <c r="I14" s="54"/>
      <c r="J14" s="54"/>
      <c r="K14" s="435"/>
      <c r="L14" s="436"/>
      <c r="M14" s="436"/>
      <c r="N14" s="436"/>
      <c r="O14" s="437"/>
    </row>
    <row r="15" spans="1:16" x14ac:dyDescent="0.3">
      <c r="A15" s="53"/>
      <c r="B15" s="54" t="s">
        <v>608</v>
      </c>
      <c r="C15" s="54"/>
      <c r="D15" s="54"/>
      <c r="E15" s="54"/>
      <c r="F15" s="70"/>
      <c r="G15" s="54"/>
      <c r="H15" s="54"/>
      <c r="I15" s="54"/>
      <c r="J15" s="54"/>
      <c r="K15" s="435"/>
      <c r="L15" s="436"/>
      <c r="M15" s="436"/>
      <c r="N15" s="436"/>
      <c r="O15" s="437"/>
    </row>
    <row r="16" spans="1:16" x14ac:dyDescent="0.3">
      <c r="A16" s="53"/>
      <c r="B16" s="89" t="s">
        <v>236</v>
      </c>
      <c r="C16" s="54"/>
      <c r="D16" s="54"/>
      <c r="E16" s="54"/>
      <c r="F16" s="70"/>
      <c r="G16" s="54"/>
      <c r="H16" s="54"/>
      <c r="I16" s="54"/>
      <c r="J16" s="54"/>
      <c r="K16" s="435"/>
      <c r="L16" s="436"/>
      <c r="M16" s="436"/>
      <c r="N16" s="436"/>
      <c r="O16" s="437"/>
    </row>
    <row r="17" spans="1:15" x14ac:dyDescent="0.3">
      <c r="A17" s="53"/>
      <c r="B17" s="54" t="s">
        <v>609</v>
      </c>
      <c r="C17" s="54"/>
      <c r="D17" s="54"/>
      <c r="E17" s="54"/>
      <c r="F17" s="70"/>
      <c r="G17" s="54"/>
      <c r="H17" s="54"/>
      <c r="I17" s="54"/>
      <c r="J17" s="54"/>
      <c r="K17" s="435"/>
      <c r="L17" s="436"/>
      <c r="M17" s="436"/>
      <c r="N17" s="436"/>
      <c r="O17" s="437"/>
    </row>
    <row r="18" spans="1:15" x14ac:dyDescent="0.3">
      <c r="A18" s="53"/>
      <c r="B18" s="54" t="s">
        <v>610</v>
      </c>
      <c r="C18" s="54"/>
      <c r="D18" s="54"/>
      <c r="E18" s="54"/>
      <c r="F18" s="70"/>
      <c r="G18" s="54"/>
      <c r="H18" s="54"/>
      <c r="I18" s="54"/>
      <c r="J18" s="54"/>
      <c r="K18" s="435"/>
      <c r="L18" s="436"/>
      <c r="M18" s="436"/>
      <c r="N18" s="436"/>
      <c r="O18" s="437"/>
    </row>
    <row r="19" spans="1:15" x14ac:dyDescent="0.3">
      <c r="A19" s="53"/>
      <c r="B19" s="89" t="s">
        <v>237</v>
      </c>
      <c r="C19" s="54"/>
      <c r="D19" s="54"/>
      <c r="E19" s="54"/>
      <c r="F19" s="70"/>
      <c r="G19" s="54"/>
      <c r="H19" s="54"/>
      <c r="I19" s="54"/>
      <c r="J19" s="54"/>
      <c r="K19" s="435"/>
      <c r="L19" s="436"/>
      <c r="M19" s="436"/>
      <c r="N19" s="436"/>
      <c r="O19" s="437"/>
    </row>
    <row r="20" spans="1:15" x14ac:dyDescent="0.3">
      <c r="A20" s="53"/>
      <c r="B20" s="54" t="s">
        <v>238</v>
      </c>
      <c r="C20" s="54"/>
      <c r="D20" s="54"/>
      <c r="E20" s="54"/>
      <c r="F20" s="70"/>
      <c r="G20" s="54"/>
      <c r="H20" s="54"/>
      <c r="I20" s="54"/>
      <c r="J20" s="54"/>
      <c r="K20" s="435"/>
      <c r="L20" s="436"/>
      <c r="M20" s="436"/>
      <c r="N20" s="436"/>
      <c r="O20" s="437"/>
    </row>
    <row r="21" spans="1:15" x14ac:dyDescent="0.3">
      <c r="A21" s="53"/>
      <c r="B21" s="89" t="s">
        <v>753</v>
      </c>
      <c r="C21" s="54"/>
      <c r="D21" s="54"/>
      <c r="E21" s="54"/>
      <c r="F21" s="70"/>
      <c r="G21" s="54"/>
      <c r="H21" s="54"/>
      <c r="I21" s="54"/>
      <c r="J21" s="54"/>
      <c r="K21" s="435"/>
      <c r="L21" s="436"/>
      <c r="M21" s="436"/>
      <c r="N21" s="436"/>
      <c r="O21" s="437"/>
    </row>
    <row r="22" spans="1:15" x14ac:dyDescent="0.3">
      <c r="A22" s="53"/>
      <c r="B22" s="54" t="s">
        <v>754</v>
      </c>
      <c r="C22" s="54"/>
      <c r="D22" s="54"/>
      <c r="E22" s="54"/>
      <c r="F22" s="70"/>
      <c r="G22" s="54"/>
      <c r="H22" s="54"/>
      <c r="I22" s="54"/>
      <c r="J22" s="54"/>
      <c r="K22" s="435"/>
      <c r="L22" s="436"/>
      <c r="M22" s="436"/>
      <c r="N22" s="436"/>
      <c r="O22" s="437"/>
    </row>
    <row r="23" spans="1:15" x14ac:dyDescent="0.3">
      <c r="A23" s="53"/>
      <c r="B23" s="184" t="s">
        <v>755</v>
      </c>
      <c r="C23" s="54"/>
      <c r="D23" s="54"/>
      <c r="E23" s="54"/>
      <c r="F23" s="70"/>
      <c r="G23" s="54"/>
      <c r="H23" s="54"/>
      <c r="I23" s="54"/>
      <c r="J23" s="54"/>
      <c r="K23" s="435"/>
      <c r="L23" s="436"/>
      <c r="M23" s="436"/>
      <c r="N23" s="436"/>
      <c r="O23" s="437"/>
    </row>
    <row r="24" spans="1:15" x14ac:dyDescent="0.3">
      <c r="A24" s="53"/>
      <c r="B24" s="89" t="s">
        <v>756</v>
      </c>
      <c r="C24" s="54"/>
      <c r="D24" s="54"/>
      <c r="E24" s="54"/>
      <c r="F24" s="70"/>
      <c r="G24" s="54"/>
      <c r="H24" s="54"/>
      <c r="I24" s="54"/>
      <c r="J24" s="54"/>
      <c r="K24" s="435"/>
      <c r="L24" s="436"/>
      <c r="M24" s="436"/>
      <c r="N24" s="436"/>
      <c r="O24" s="437"/>
    </row>
    <row r="25" spans="1:15" x14ac:dyDescent="0.3">
      <c r="A25" s="53"/>
      <c r="B25" s="54" t="s">
        <v>757</v>
      </c>
      <c r="C25" s="54"/>
      <c r="D25" s="54"/>
      <c r="E25" s="54"/>
      <c r="F25" s="70"/>
      <c r="G25" s="54"/>
      <c r="H25" s="54"/>
      <c r="I25" s="54"/>
      <c r="J25" s="54"/>
      <c r="K25" s="435"/>
      <c r="L25" s="436"/>
      <c r="M25" s="436"/>
      <c r="N25" s="436"/>
      <c r="O25" s="437"/>
    </row>
    <row r="26" spans="1:15" x14ac:dyDescent="0.3">
      <c r="A26" s="53" t="s">
        <v>47</v>
      </c>
      <c r="B26" s="184" t="s">
        <v>611</v>
      </c>
      <c r="C26" s="54"/>
      <c r="D26" s="54"/>
      <c r="E26" s="54"/>
      <c r="F26" s="70"/>
      <c r="G26" s="54"/>
      <c r="H26" s="54"/>
      <c r="I26" s="54"/>
      <c r="J26" s="54"/>
      <c r="K26" s="435"/>
      <c r="L26" s="436"/>
      <c r="M26" s="436"/>
      <c r="N26" s="436"/>
      <c r="O26" s="437"/>
    </row>
    <row r="27" spans="1:15" x14ac:dyDescent="0.3">
      <c r="A27" s="78"/>
      <c r="B27" s="77"/>
      <c r="C27" s="77"/>
      <c r="D27" s="77"/>
      <c r="E27" s="77"/>
      <c r="F27" s="77"/>
      <c r="G27" s="77"/>
      <c r="H27" s="77"/>
      <c r="I27" s="77"/>
      <c r="J27" s="77"/>
      <c r="K27" s="429"/>
      <c r="L27" s="430"/>
      <c r="M27" s="430"/>
      <c r="N27" s="430"/>
      <c r="O27" s="431"/>
    </row>
    <row r="28" spans="1:15" x14ac:dyDescent="0.3">
      <c r="A28" s="54"/>
      <c r="I28" s="47"/>
      <c r="J28" s="47"/>
      <c r="K28" s="47"/>
      <c r="L28" s="47"/>
      <c r="M28" s="47"/>
      <c r="N28" s="47"/>
      <c r="O28" s="47"/>
    </row>
    <row r="29" spans="1:15" x14ac:dyDescent="0.3">
      <c r="A29" s="56" t="s">
        <v>239</v>
      </c>
      <c r="B29" s="57"/>
      <c r="C29" s="57"/>
      <c r="D29" s="57"/>
      <c r="E29" s="57"/>
      <c r="F29" s="57"/>
      <c r="G29" s="57"/>
      <c r="H29" s="57"/>
      <c r="I29" s="57"/>
      <c r="J29" s="57"/>
      <c r="K29" s="57"/>
      <c r="L29" s="57"/>
      <c r="M29" s="57"/>
      <c r="N29" s="57"/>
      <c r="O29" s="57"/>
    </row>
    <row r="31" spans="1:15" x14ac:dyDescent="0.3">
      <c r="A31" s="113"/>
      <c r="B31" s="260" t="s">
        <v>49</v>
      </c>
      <c r="C31" s="52"/>
      <c r="D31" s="52"/>
      <c r="E31" s="237"/>
      <c r="F31" s="113"/>
      <c r="G31" s="256" t="s">
        <v>49</v>
      </c>
      <c r="H31" s="52"/>
      <c r="I31" s="52"/>
      <c r="J31" s="237"/>
    </row>
    <row r="32" spans="1:15" x14ac:dyDescent="0.3">
      <c r="A32" s="114"/>
      <c r="B32" s="258" t="s">
        <v>116</v>
      </c>
      <c r="C32" s="54"/>
      <c r="D32" s="54"/>
      <c r="E32" s="246"/>
      <c r="F32" s="114"/>
      <c r="G32" s="258" t="s">
        <v>116</v>
      </c>
      <c r="H32" s="54"/>
      <c r="I32" s="54"/>
      <c r="J32" s="246"/>
      <c r="L32" s="146"/>
    </row>
    <row r="33" spans="1:16" x14ac:dyDescent="0.3">
      <c r="A33" s="114"/>
      <c r="B33" s="258" t="s">
        <v>117</v>
      </c>
      <c r="C33" s="54"/>
      <c r="D33" s="54"/>
      <c r="E33" s="246"/>
      <c r="F33" s="114"/>
      <c r="G33" s="258" t="s">
        <v>117</v>
      </c>
      <c r="H33" s="54"/>
      <c r="I33" s="54"/>
      <c r="J33" s="246"/>
    </row>
    <row r="34" spans="1:16" x14ac:dyDescent="0.3">
      <c r="A34" s="114"/>
      <c r="B34" s="258" t="s">
        <v>240</v>
      </c>
      <c r="C34" s="54"/>
      <c r="D34" s="54"/>
      <c r="E34" s="246"/>
      <c r="F34" s="114"/>
      <c r="G34" s="258" t="s">
        <v>240</v>
      </c>
      <c r="H34" s="54"/>
      <c r="I34" s="54"/>
      <c r="J34" s="246"/>
      <c r="L34" s="230"/>
    </row>
    <row r="35" spans="1:16" x14ac:dyDescent="0.3">
      <c r="A35" s="138" t="s">
        <v>475</v>
      </c>
      <c r="B35" s="251" t="s">
        <v>479</v>
      </c>
      <c r="C35" s="77"/>
      <c r="D35" s="77"/>
      <c r="E35" s="252"/>
      <c r="F35" s="138" t="s">
        <v>476</v>
      </c>
      <c r="G35" s="251" t="s">
        <v>480</v>
      </c>
      <c r="H35" s="77"/>
      <c r="I35" s="77"/>
      <c r="J35" s="252"/>
    </row>
    <row r="36" spans="1:16" x14ac:dyDescent="0.3">
      <c r="A36" s="58" t="s">
        <v>48</v>
      </c>
      <c r="B36" s="58" t="s">
        <v>50</v>
      </c>
      <c r="C36" s="58" t="s">
        <v>89</v>
      </c>
      <c r="D36" s="58" t="s">
        <v>102</v>
      </c>
      <c r="E36" s="58" t="s">
        <v>143</v>
      </c>
      <c r="F36" s="58" t="s">
        <v>48</v>
      </c>
      <c r="G36" s="58" t="s">
        <v>50</v>
      </c>
      <c r="H36" s="58" t="s">
        <v>89</v>
      </c>
      <c r="I36" s="58" t="s">
        <v>102</v>
      </c>
      <c r="J36" s="58" t="s">
        <v>143</v>
      </c>
      <c r="L36" s="230"/>
    </row>
    <row r="37" spans="1:16" x14ac:dyDescent="0.3">
      <c r="A37" s="60"/>
      <c r="B37" s="60" t="s">
        <v>101</v>
      </c>
      <c r="C37" s="59" t="s">
        <v>65</v>
      </c>
      <c r="D37" s="59" t="s">
        <v>58</v>
      </c>
      <c r="E37" s="60" t="s">
        <v>130</v>
      </c>
      <c r="F37" s="59"/>
      <c r="G37" s="59" t="s">
        <v>101</v>
      </c>
      <c r="H37" s="59" t="s">
        <v>65</v>
      </c>
      <c r="I37" s="59" t="s">
        <v>58</v>
      </c>
      <c r="J37" s="60" t="s">
        <v>130</v>
      </c>
    </row>
    <row r="38" spans="1:16" x14ac:dyDescent="0.3">
      <c r="A38" s="144">
        <v>1</v>
      </c>
      <c r="B38" s="113"/>
      <c r="C38" s="113"/>
      <c r="D38" s="240" t="str">
        <f>IF(OR(B38="",C38=""),"",ABS(C38/B38-1)*100)</f>
        <v/>
      </c>
      <c r="E38" s="144" t="str">
        <f>IF(OR(B38="",C38=""),"",IF(D38&gt;10,"IKKE OK",IF(AND(D38&gt;5,D38&lt;10),"Kontakt MFE","OK")))</f>
        <v/>
      </c>
      <c r="F38" s="144">
        <v>1</v>
      </c>
      <c r="G38" s="113"/>
      <c r="H38" s="113"/>
      <c r="I38" s="240" t="str">
        <f>IF(OR(G38="",H38=""),"",ABS(H38/G38-1)*100)</f>
        <v/>
      </c>
      <c r="J38" s="144" t="str">
        <f>IF(OR(G38="",H38=""),"",IF(I38&gt;10,"IKKE OK",IF(AND(I38&gt;5,I38&lt;10),"Kontakt MFE","OK")))</f>
        <v/>
      </c>
      <c r="L38" s="230"/>
    </row>
    <row r="39" spans="1:16" x14ac:dyDescent="0.3">
      <c r="A39" s="242">
        <v>2</v>
      </c>
      <c r="B39" s="114"/>
      <c r="C39" s="114"/>
      <c r="D39" s="129" t="str">
        <f t="shared" ref="D39:D42" si="0">IF(OR(B39="",C39=""),"",ABS(C39/B39-1)*100)</f>
        <v/>
      </c>
      <c r="E39" s="242" t="str">
        <f t="shared" ref="E39:E42" si="1">IF(OR(B39="",C39=""),"",IF(D39&gt;10,"IKKE OK",IF(AND(D39&gt;5,D39&lt;10),"Kontakt MFE","OK")))</f>
        <v/>
      </c>
      <c r="F39" s="242">
        <v>2</v>
      </c>
      <c r="G39" s="114"/>
      <c r="H39" s="114"/>
      <c r="I39" s="129" t="str">
        <f t="shared" ref="I39:I42" si="2">IF(OR(G39="",H39=""),"",ABS(H39/G39-1)*100)</f>
        <v/>
      </c>
      <c r="J39" s="242" t="str">
        <f t="shared" ref="J39:J42" si="3">IF(OR(G39="",H39=""),"",IF(I39&gt;10,"IKKE OK",IF(AND(I39&gt;5,I39&lt;10),"Kontakt MFE","OK")))</f>
        <v/>
      </c>
    </row>
    <row r="40" spans="1:16" x14ac:dyDescent="0.3">
      <c r="A40" s="242">
        <v>3</v>
      </c>
      <c r="B40" s="114"/>
      <c r="C40" s="114"/>
      <c r="D40" s="129" t="str">
        <f t="shared" si="0"/>
        <v/>
      </c>
      <c r="E40" s="242" t="str">
        <f t="shared" si="1"/>
        <v/>
      </c>
      <c r="F40" s="242">
        <v>3</v>
      </c>
      <c r="G40" s="114"/>
      <c r="H40" s="114"/>
      <c r="I40" s="129" t="str">
        <f t="shared" si="2"/>
        <v/>
      </c>
      <c r="J40" s="242" t="str">
        <f t="shared" si="3"/>
        <v/>
      </c>
    </row>
    <row r="41" spans="1:16" x14ac:dyDescent="0.3">
      <c r="A41" s="242">
        <v>4</v>
      </c>
      <c r="B41" s="114"/>
      <c r="C41" s="114"/>
      <c r="D41" s="129" t="str">
        <f t="shared" si="0"/>
        <v/>
      </c>
      <c r="E41" s="242" t="str">
        <f t="shared" si="1"/>
        <v/>
      </c>
      <c r="F41" s="242">
        <v>4</v>
      </c>
      <c r="G41" s="114"/>
      <c r="H41" s="114"/>
      <c r="I41" s="129" t="str">
        <f t="shared" si="2"/>
        <v/>
      </c>
      <c r="J41" s="242" t="str">
        <f t="shared" si="3"/>
        <v/>
      </c>
    </row>
    <row r="42" spans="1:16" x14ac:dyDescent="0.3">
      <c r="A42" s="145">
        <v>5</v>
      </c>
      <c r="B42" s="115"/>
      <c r="C42" s="115"/>
      <c r="D42" s="138" t="str">
        <f t="shared" si="0"/>
        <v/>
      </c>
      <c r="E42" s="145" t="str">
        <f t="shared" si="1"/>
        <v/>
      </c>
      <c r="F42" s="145">
        <v>5</v>
      </c>
      <c r="G42" s="115"/>
      <c r="H42" s="115"/>
      <c r="I42" s="138" t="str">
        <f t="shared" si="2"/>
        <v/>
      </c>
      <c r="J42" s="145" t="str">
        <f t="shared" si="3"/>
        <v/>
      </c>
    </row>
    <row r="43" spans="1:16" x14ac:dyDescent="0.3">
      <c r="F43" s="54"/>
    </row>
    <row r="46" spans="1:16" ht="18" x14ac:dyDescent="0.35">
      <c r="A46" s="46" t="s">
        <v>415</v>
      </c>
      <c r="B46" s="48"/>
      <c r="C46" s="48"/>
      <c r="D46" s="48"/>
      <c r="E46" s="135" t="s">
        <v>471</v>
      </c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54"/>
    </row>
    <row r="48" spans="1:16" x14ac:dyDescent="0.3">
      <c r="A48" s="49" t="s">
        <v>153</v>
      </c>
      <c r="B48" s="50"/>
      <c r="C48" s="50"/>
      <c r="D48" s="50"/>
      <c r="E48" s="50"/>
      <c r="F48" s="50"/>
      <c r="G48" s="50"/>
      <c r="H48" s="50"/>
      <c r="I48" s="50"/>
      <c r="J48" s="50"/>
      <c r="K48" s="73" t="s">
        <v>96</v>
      </c>
      <c r="L48" s="50"/>
      <c r="M48" s="50"/>
      <c r="N48" s="50"/>
      <c r="O48" s="50"/>
    </row>
    <row r="49" spans="1:16" x14ac:dyDescent="0.3">
      <c r="A49" s="51" t="s">
        <v>44</v>
      </c>
      <c r="B49" s="52" t="s">
        <v>243</v>
      </c>
      <c r="C49" s="52"/>
      <c r="D49" s="52"/>
      <c r="E49" s="52"/>
      <c r="F49" s="52"/>
      <c r="G49" s="52"/>
      <c r="H49" s="52"/>
      <c r="I49" s="52"/>
      <c r="J49" s="52"/>
      <c r="K49" s="432"/>
      <c r="L49" s="433"/>
      <c r="M49" s="433"/>
      <c r="N49" s="433"/>
      <c r="O49" s="434"/>
    </row>
    <row r="50" spans="1:16" x14ac:dyDescent="0.3">
      <c r="A50" s="53" t="s">
        <v>45</v>
      </c>
      <c r="B50" s="54" t="s">
        <v>416</v>
      </c>
      <c r="C50" s="54"/>
      <c r="D50" s="54"/>
      <c r="E50" s="54"/>
      <c r="F50" s="70"/>
      <c r="G50" s="54"/>
      <c r="H50" s="54"/>
      <c r="I50" s="54"/>
      <c r="J50" s="54"/>
      <c r="K50" s="435"/>
      <c r="L50" s="436"/>
      <c r="M50" s="436"/>
      <c r="N50" s="436"/>
      <c r="O50" s="437"/>
    </row>
    <row r="51" spans="1:16" x14ac:dyDescent="0.3">
      <c r="A51" s="53" t="s">
        <v>46</v>
      </c>
      <c r="B51" s="54" t="s">
        <v>612</v>
      </c>
      <c r="C51" s="54"/>
      <c r="D51" s="54"/>
      <c r="E51" s="54"/>
      <c r="F51" s="70"/>
      <c r="G51" s="54"/>
      <c r="H51" s="54"/>
      <c r="I51" s="54"/>
      <c r="J51" s="54"/>
      <c r="K51" s="435"/>
      <c r="L51" s="436"/>
      <c r="M51" s="436"/>
      <c r="N51" s="436"/>
      <c r="O51" s="437"/>
    </row>
    <row r="52" spans="1:16" x14ac:dyDescent="0.3">
      <c r="A52" s="53"/>
      <c r="B52" s="184" t="s">
        <v>613</v>
      </c>
      <c r="C52" s="54"/>
      <c r="D52" s="54"/>
      <c r="E52" s="54"/>
      <c r="F52" s="70"/>
      <c r="G52" s="54"/>
      <c r="H52" s="54"/>
      <c r="I52" s="54"/>
      <c r="J52" s="54"/>
      <c r="K52" s="435"/>
      <c r="L52" s="436"/>
      <c r="M52" s="436"/>
      <c r="N52" s="436"/>
      <c r="O52" s="437"/>
    </row>
    <row r="53" spans="1:16" x14ac:dyDescent="0.3">
      <c r="A53" s="53"/>
      <c r="B53" s="54" t="s">
        <v>614</v>
      </c>
      <c r="C53" s="54"/>
      <c r="D53" s="54"/>
      <c r="E53" s="54"/>
      <c r="F53" s="70"/>
      <c r="G53" s="54"/>
      <c r="H53" s="54"/>
      <c r="I53" s="54"/>
      <c r="J53" s="54"/>
      <c r="K53" s="435"/>
      <c r="L53" s="436"/>
      <c r="M53" s="436"/>
      <c r="N53" s="436"/>
      <c r="O53" s="437"/>
    </row>
    <row r="54" spans="1:16" x14ac:dyDescent="0.3">
      <c r="A54" s="53"/>
      <c r="B54" s="184" t="s">
        <v>615</v>
      </c>
      <c r="C54" s="54"/>
      <c r="D54" s="54"/>
      <c r="E54" s="54"/>
      <c r="F54" s="70"/>
      <c r="G54" s="54"/>
      <c r="H54" s="54"/>
      <c r="I54" s="54"/>
      <c r="J54" s="54"/>
      <c r="K54" s="435"/>
      <c r="L54" s="436"/>
      <c r="M54" s="436"/>
      <c r="N54" s="436"/>
      <c r="O54" s="437"/>
    </row>
    <row r="55" spans="1:16" x14ac:dyDescent="0.3">
      <c r="A55" s="53"/>
      <c r="B55" s="54" t="s">
        <v>509</v>
      </c>
      <c r="C55" s="54"/>
      <c r="D55" s="54"/>
      <c r="E55" s="54"/>
      <c r="F55" s="70"/>
      <c r="G55" s="54"/>
      <c r="H55" s="54"/>
      <c r="I55" s="54"/>
      <c r="J55" s="54"/>
      <c r="K55" s="435"/>
      <c r="L55" s="436"/>
      <c r="M55" s="436"/>
      <c r="N55" s="436"/>
      <c r="O55" s="437"/>
    </row>
    <row r="56" spans="1:16" x14ac:dyDescent="0.3">
      <c r="A56" s="53" t="s">
        <v>47</v>
      </c>
      <c r="B56" s="261" t="s">
        <v>616</v>
      </c>
      <c r="C56" s="54"/>
      <c r="D56" s="54"/>
      <c r="E56" s="54"/>
      <c r="F56" s="70"/>
      <c r="G56" s="54"/>
      <c r="H56" s="54"/>
      <c r="I56" s="54"/>
      <c r="J56" s="54"/>
      <c r="K56" s="435"/>
      <c r="L56" s="436"/>
      <c r="M56" s="436"/>
      <c r="N56" s="436"/>
      <c r="O56" s="437"/>
    </row>
    <row r="57" spans="1:16" x14ac:dyDescent="0.3">
      <c r="A57" s="53" t="s">
        <v>220</v>
      </c>
      <c r="B57" s="184" t="s">
        <v>247</v>
      </c>
      <c r="C57" s="54"/>
      <c r="D57" s="54"/>
      <c r="E57" s="54"/>
      <c r="F57" s="70"/>
      <c r="G57" s="54"/>
      <c r="H57" s="54"/>
      <c r="I57" s="54"/>
      <c r="J57" s="54"/>
      <c r="K57" s="435"/>
      <c r="L57" s="436"/>
      <c r="M57" s="436"/>
      <c r="N57" s="436"/>
      <c r="O57" s="437"/>
    </row>
    <row r="58" spans="1:16" x14ac:dyDescent="0.3">
      <c r="A58" s="78"/>
      <c r="B58" s="77"/>
      <c r="C58" s="77"/>
      <c r="D58" s="77"/>
      <c r="E58" s="77"/>
      <c r="F58" s="77"/>
      <c r="G58" s="77"/>
      <c r="H58" s="77"/>
      <c r="I58" s="77"/>
      <c r="J58" s="77"/>
      <c r="K58" s="429"/>
      <c r="L58" s="430"/>
      <c r="M58" s="430"/>
      <c r="N58" s="430"/>
      <c r="O58" s="431"/>
    </row>
    <row r="59" spans="1:16" x14ac:dyDescent="0.3">
      <c r="A59" s="54"/>
      <c r="I59" s="47"/>
      <c r="J59" s="47"/>
      <c r="K59" s="47"/>
      <c r="L59" s="47"/>
      <c r="M59" s="47"/>
      <c r="N59" s="47"/>
      <c r="O59" s="47"/>
    </row>
    <row r="60" spans="1:16" x14ac:dyDescent="0.3">
      <c r="A60" s="56" t="s">
        <v>248</v>
      </c>
      <c r="B60" s="57"/>
      <c r="C60" s="57"/>
      <c r="D60" s="57"/>
      <c r="E60" s="57"/>
      <c r="F60" s="57"/>
      <c r="G60" s="57"/>
      <c r="H60" s="57"/>
      <c r="I60" s="57"/>
      <c r="J60" s="57"/>
      <c r="K60" s="57"/>
      <c r="L60" s="57"/>
      <c r="M60" s="57"/>
      <c r="N60" s="57"/>
      <c r="O60" s="57"/>
    </row>
    <row r="62" spans="1:16" x14ac:dyDescent="0.3">
      <c r="A62" s="217"/>
      <c r="B62" s="260" t="s">
        <v>49</v>
      </c>
      <c r="C62" s="52"/>
      <c r="D62" s="52"/>
      <c r="E62" s="234"/>
      <c r="F62" s="234"/>
      <c r="G62" s="237"/>
      <c r="H62" s="113"/>
      <c r="I62" s="256" t="s">
        <v>49</v>
      </c>
      <c r="J62" s="52"/>
      <c r="K62" s="52"/>
      <c r="L62" s="234"/>
      <c r="M62" s="234"/>
      <c r="N62" s="237"/>
    </row>
    <row r="63" spans="1:16" x14ac:dyDescent="0.3">
      <c r="A63" s="214"/>
      <c r="B63" s="258" t="s">
        <v>116</v>
      </c>
      <c r="C63" s="54"/>
      <c r="D63" s="54"/>
      <c r="E63" s="233"/>
      <c r="F63" s="233"/>
      <c r="G63" s="246"/>
      <c r="H63" s="214"/>
      <c r="I63" s="258" t="s">
        <v>116</v>
      </c>
      <c r="J63" s="54"/>
      <c r="K63" s="54"/>
      <c r="L63" s="233"/>
      <c r="M63" s="233"/>
      <c r="N63" s="246"/>
      <c r="P63" s="146"/>
    </row>
    <row r="64" spans="1:16" x14ac:dyDescent="0.3">
      <c r="A64" s="214"/>
      <c r="B64" s="258" t="s">
        <v>117</v>
      </c>
      <c r="C64" s="54"/>
      <c r="D64" s="54"/>
      <c r="E64" s="233"/>
      <c r="F64" s="233"/>
      <c r="G64" s="246"/>
      <c r="H64" s="214"/>
      <c r="I64" s="258" t="s">
        <v>117</v>
      </c>
      <c r="J64" s="54"/>
      <c r="K64" s="54"/>
      <c r="L64" s="233"/>
      <c r="M64" s="233"/>
      <c r="N64" s="246"/>
    </row>
    <row r="65" spans="1:16" x14ac:dyDescent="0.3">
      <c r="A65" s="214"/>
      <c r="B65" s="258" t="s">
        <v>240</v>
      </c>
      <c r="C65" s="54"/>
      <c r="D65" s="54"/>
      <c r="E65" s="233"/>
      <c r="F65" s="233"/>
      <c r="G65" s="246"/>
      <c r="H65" s="214"/>
      <c r="I65" s="258" t="s">
        <v>240</v>
      </c>
      <c r="J65" s="54"/>
      <c r="K65" s="54"/>
      <c r="L65" s="233"/>
      <c r="M65" s="233"/>
      <c r="N65" s="246"/>
    </row>
    <row r="66" spans="1:16" x14ac:dyDescent="0.3">
      <c r="A66" s="138" t="s">
        <v>475</v>
      </c>
      <c r="B66" s="251" t="s">
        <v>479</v>
      </c>
      <c r="C66" s="77"/>
      <c r="D66" s="77"/>
      <c r="E66" s="182"/>
      <c r="F66" s="182"/>
      <c r="G66" s="252"/>
      <c r="H66" s="138" t="s">
        <v>476</v>
      </c>
      <c r="I66" s="251" t="s">
        <v>480</v>
      </c>
      <c r="J66" s="77"/>
      <c r="K66" s="77"/>
      <c r="L66" s="182"/>
      <c r="M66" s="182"/>
      <c r="N66" s="252"/>
    </row>
    <row r="67" spans="1:16" x14ac:dyDescent="0.3">
      <c r="A67" s="58" t="s">
        <v>48</v>
      </c>
      <c r="B67" s="58" t="s">
        <v>50</v>
      </c>
      <c r="C67" s="58" t="s">
        <v>244</v>
      </c>
      <c r="D67" s="58" t="s">
        <v>246</v>
      </c>
      <c r="E67" s="58" t="s">
        <v>413</v>
      </c>
      <c r="F67" s="58" t="s">
        <v>143</v>
      </c>
      <c r="G67" s="58" t="s">
        <v>143</v>
      </c>
      <c r="H67" s="58" t="s">
        <v>48</v>
      </c>
      <c r="I67" s="58" t="s">
        <v>50</v>
      </c>
      <c r="J67" s="58" t="s">
        <v>244</v>
      </c>
      <c r="K67" s="58" t="s">
        <v>246</v>
      </c>
      <c r="L67" s="58" t="s">
        <v>413</v>
      </c>
      <c r="M67" s="58" t="s">
        <v>143</v>
      </c>
      <c r="N67" s="58" t="s">
        <v>143</v>
      </c>
      <c r="P67" s="230"/>
    </row>
    <row r="68" spans="1:16" x14ac:dyDescent="0.3">
      <c r="A68" s="59"/>
      <c r="B68" s="59"/>
      <c r="C68" s="59" t="s">
        <v>65</v>
      </c>
      <c r="D68" s="59" t="s">
        <v>65</v>
      </c>
      <c r="E68" s="59" t="s">
        <v>414</v>
      </c>
      <c r="F68" s="59" t="s">
        <v>414</v>
      </c>
      <c r="G68" s="59" t="s">
        <v>417</v>
      </c>
      <c r="H68" s="59"/>
      <c r="I68" s="59"/>
      <c r="J68" s="59" t="s">
        <v>65</v>
      </c>
      <c r="K68" s="59" t="s">
        <v>65</v>
      </c>
      <c r="L68" s="59" t="s">
        <v>414</v>
      </c>
      <c r="M68" s="59" t="s">
        <v>414</v>
      </c>
      <c r="N68" s="59" t="s">
        <v>417</v>
      </c>
    </row>
    <row r="69" spans="1:16" x14ac:dyDescent="0.3">
      <c r="A69" s="59"/>
      <c r="B69" s="59" t="s">
        <v>101</v>
      </c>
      <c r="C69" s="59" t="s">
        <v>245</v>
      </c>
      <c r="D69" s="59" t="s">
        <v>245</v>
      </c>
      <c r="E69" s="60" t="s">
        <v>245</v>
      </c>
      <c r="F69" s="60" t="s">
        <v>130</v>
      </c>
      <c r="G69" s="60" t="s">
        <v>130</v>
      </c>
      <c r="H69" s="59"/>
      <c r="I69" s="59" t="s">
        <v>101</v>
      </c>
      <c r="J69" s="59" t="s">
        <v>245</v>
      </c>
      <c r="K69" s="59" t="s">
        <v>245</v>
      </c>
      <c r="L69" s="60" t="s">
        <v>245</v>
      </c>
      <c r="M69" s="60" t="s">
        <v>130</v>
      </c>
      <c r="N69" s="60" t="s">
        <v>130</v>
      </c>
    </row>
    <row r="70" spans="1:16" x14ac:dyDescent="0.3">
      <c r="A70" s="144">
        <v>1</v>
      </c>
      <c r="B70" s="113"/>
      <c r="C70" s="110"/>
      <c r="D70" s="110"/>
      <c r="E70" s="144" t="str">
        <f>IF(OR(B70="",C70=""),"",VLOOKUP(B70,Data!$B$57:$C$64,2,TRUE))</f>
        <v/>
      </c>
      <c r="F70" s="144" t="str">
        <f>IF(C70="","",IF(C70&lt;E70,"IKKE OK","OK"))</f>
        <v/>
      </c>
      <c r="G70" s="144" t="str">
        <f>IF(D70="","",IF(D70&lt;2.5,"IKKE OK","OK"))</f>
        <v/>
      </c>
      <c r="H70" s="144">
        <v>1</v>
      </c>
      <c r="I70" s="113"/>
      <c r="J70" s="113"/>
      <c r="K70" s="110"/>
      <c r="L70" s="144" t="str">
        <f>IF(OR(I70="",J70=""),"",VLOOKUP(I70,Data!$B$57:$C$64,2,TRUE))</f>
        <v/>
      </c>
      <c r="M70" s="144" t="str">
        <f>IF(J70="","",IF(J70&lt;L70,"IKKE OK","OK"))</f>
        <v/>
      </c>
      <c r="N70" s="144" t="str">
        <f>IF(K70="","",IF(K70&lt;2.5,"IKKE OK","OK"))</f>
        <v/>
      </c>
      <c r="P70" s="230"/>
    </row>
    <row r="71" spans="1:16" x14ac:dyDescent="0.3">
      <c r="A71" s="242">
        <v>2</v>
      </c>
      <c r="B71" s="114"/>
      <c r="C71" s="114"/>
      <c r="D71" s="111"/>
      <c r="E71" s="242" t="str">
        <f>IF(OR(B71="",C71=""),"",VLOOKUP(B71,Data!$B$57:$C$64,2,TRUE))</f>
        <v/>
      </c>
      <c r="F71" s="242" t="str">
        <f t="shared" ref="F71:F74" si="4">IF(C71="","",IF(C71&lt;E71,"IKKE OK","OK"))</f>
        <v/>
      </c>
      <c r="G71" s="242" t="str">
        <f>IF(D71="","",IF(D71&lt;2.5,"IKKE OK","OK"))</f>
        <v/>
      </c>
      <c r="H71" s="242">
        <v>2</v>
      </c>
      <c r="I71" s="114"/>
      <c r="J71" s="114"/>
      <c r="K71" s="111"/>
      <c r="L71" s="242" t="str">
        <f>IF(OR(I71="",J71=""),"",VLOOKUP(I71,Data!$B$57:$C$64,2,TRUE))</f>
        <v/>
      </c>
      <c r="M71" s="242" t="str">
        <f t="shared" ref="M71:M74" si="5">IF(J71="","",IF(J71&lt;L71,"IKKE OK","OK"))</f>
        <v/>
      </c>
      <c r="N71" s="242" t="str">
        <f>IF(K71="","",IF(K71&lt;2.5,"IKKE OK","OK"))</f>
        <v/>
      </c>
    </row>
    <row r="72" spans="1:16" x14ac:dyDescent="0.3">
      <c r="A72" s="242">
        <v>3</v>
      </c>
      <c r="B72" s="114"/>
      <c r="C72" s="114"/>
      <c r="D72" s="111"/>
      <c r="E72" s="242" t="str">
        <f>IF(OR(B72="",C72=""),"",VLOOKUP(B72,Data!$B$57:$C$64,2,TRUE))</f>
        <v/>
      </c>
      <c r="F72" s="242" t="str">
        <f t="shared" si="4"/>
        <v/>
      </c>
      <c r="G72" s="242" t="str">
        <f>IF(D72="","",IF(D72&lt;2.5,"IKKE OK","OK"))</f>
        <v/>
      </c>
      <c r="H72" s="242">
        <v>3</v>
      </c>
      <c r="I72" s="114"/>
      <c r="J72" s="114"/>
      <c r="K72" s="111"/>
      <c r="L72" s="242" t="str">
        <f>IF(OR(I72="",J72=""),"",VLOOKUP(I72,Data!$B$57:$C$64,2,TRUE))</f>
        <v/>
      </c>
      <c r="M72" s="242" t="str">
        <f t="shared" si="5"/>
        <v/>
      </c>
      <c r="N72" s="242" t="str">
        <f>IF(K72="","",IF(K72&lt;2.5,"IKKE OK","OK"))</f>
        <v/>
      </c>
      <c r="P72" s="230"/>
    </row>
    <row r="73" spans="1:16" x14ac:dyDescent="0.3">
      <c r="A73" s="242">
        <v>4</v>
      </c>
      <c r="B73" s="114"/>
      <c r="C73" s="114"/>
      <c r="D73" s="111"/>
      <c r="E73" s="242" t="str">
        <f>IF(OR(B73="",C73=""),"",VLOOKUP(B73,Data!$B$57:$C$64,2,TRUE))</f>
        <v/>
      </c>
      <c r="F73" s="242" t="str">
        <f t="shared" si="4"/>
        <v/>
      </c>
      <c r="G73" s="242" t="str">
        <f>IF(D73="","",IF(D73&lt;2.5,"IKKE OK","OK"))</f>
        <v/>
      </c>
      <c r="H73" s="242">
        <v>4</v>
      </c>
      <c r="I73" s="114"/>
      <c r="J73" s="114"/>
      <c r="K73" s="111"/>
      <c r="L73" s="242" t="str">
        <f>IF(OR(I73="",J73=""),"",VLOOKUP(I73,Data!$B$57:$C$64,2,TRUE))</f>
        <v/>
      </c>
      <c r="M73" s="242" t="str">
        <f t="shared" si="5"/>
        <v/>
      </c>
      <c r="N73" s="242" t="str">
        <f>IF(K73="","",IF(K73&lt;2.5,"IKKE OK","OK"))</f>
        <v/>
      </c>
    </row>
    <row r="74" spans="1:16" x14ac:dyDescent="0.3">
      <c r="A74" s="145">
        <v>5</v>
      </c>
      <c r="B74" s="115"/>
      <c r="C74" s="115"/>
      <c r="D74" s="112"/>
      <c r="E74" s="145" t="str">
        <f>IF(OR(B74="",C74=""),"",VLOOKUP(B74,Data!$B$57:$C$64,2,TRUE))</f>
        <v/>
      </c>
      <c r="F74" s="145" t="str">
        <f t="shared" si="4"/>
        <v/>
      </c>
      <c r="G74" s="145" t="str">
        <f>IF(D74="","",IF(D74&lt;2.5,"IKKE OK","OK"))</f>
        <v/>
      </c>
      <c r="H74" s="145">
        <v>5</v>
      </c>
      <c r="I74" s="115"/>
      <c r="J74" s="115"/>
      <c r="K74" s="112"/>
      <c r="L74" s="145" t="str">
        <f>IF(OR(I74="",J74=""),"",VLOOKUP(I74,Data!$B$57:$C$64,2,TRUE))</f>
        <v/>
      </c>
      <c r="M74" s="145" t="str">
        <f t="shared" si="5"/>
        <v/>
      </c>
      <c r="N74" s="145" t="str">
        <f>IF(K74="","",IF(K74&lt;2.5,"IKKE OK","OK"))</f>
        <v/>
      </c>
    </row>
    <row r="75" spans="1:16" x14ac:dyDescent="0.3">
      <c r="F75" s="54"/>
    </row>
  </sheetData>
  <sheetProtection sheet="1" objects="1" scenarios="1"/>
  <mergeCells count="41">
    <mergeCell ref="N1:O1"/>
    <mergeCell ref="N2:O2"/>
    <mergeCell ref="N3:O3"/>
    <mergeCell ref="N4:O4"/>
    <mergeCell ref="N5:O5"/>
    <mergeCell ref="I1:K1"/>
    <mergeCell ref="I2:K2"/>
    <mergeCell ref="I3:K3"/>
    <mergeCell ref="I4:K4"/>
    <mergeCell ref="I5:K5"/>
    <mergeCell ref="C1:E1"/>
    <mergeCell ref="C2:E2"/>
    <mergeCell ref="C3:E3"/>
    <mergeCell ref="C4:E4"/>
    <mergeCell ref="C5:E5"/>
    <mergeCell ref="K58:O58"/>
    <mergeCell ref="K12:O12"/>
    <mergeCell ref="K13:O13"/>
    <mergeCell ref="K49:O49"/>
    <mergeCell ref="K50:O50"/>
    <mergeCell ref="K27:O27"/>
    <mergeCell ref="K14:O14"/>
    <mergeCell ref="K15:O15"/>
    <mergeCell ref="K16:O16"/>
    <mergeCell ref="K17:O17"/>
    <mergeCell ref="K18:O18"/>
    <mergeCell ref="K19:O19"/>
    <mergeCell ref="K20:O20"/>
    <mergeCell ref="K21:O21"/>
    <mergeCell ref="K22:O22"/>
    <mergeCell ref="K23:O23"/>
    <mergeCell ref="K24:O24"/>
    <mergeCell ref="K25:O25"/>
    <mergeCell ref="K26:O26"/>
    <mergeCell ref="K51:O51"/>
    <mergeCell ref="K52:O52"/>
    <mergeCell ref="K53:O53"/>
    <mergeCell ref="K54:O54"/>
    <mergeCell ref="K55:O55"/>
    <mergeCell ref="K56:O56"/>
    <mergeCell ref="K57:O57"/>
  </mergeCells>
  <conditionalFormatting sqref="D38:D42">
    <cfRule type="cellIs" dxfId="154" priority="47" operator="equal">
      <formula>"Rådfør med MFE"</formula>
    </cfRule>
  </conditionalFormatting>
  <conditionalFormatting sqref="D70:D74">
    <cfRule type="cellIs" dxfId="153" priority="44" operator="equal">
      <formula>"Rådfør med MFE"</formula>
    </cfRule>
  </conditionalFormatting>
  <conditionalFormatting sqref="E38:E42">
    <cfRule type="cellIs" dxfId="152" priority="27" operator="equal">
      <formula>"Kontakt MFE"</formula>
    </cfRule>
    <cfRule type="cellIs" dxfId="151" priority="45" operator="equal">
      <formula>"IKKE OK"</formula>
    </cfRule>
    <cfRule type="cellIs" dxfId="150" priority="46" operator="equal">
      <formula>"OK"</formula>
    </cfRule>
  </conditionalFormatting>
  <conditionalFormatting sqref="F70:G74">
    <cfRule type="cellIs" dxfId="149" priority="25" operator="equal">
      <formula>"IKKE OK"</formula>
    </cfRule>
    <cfRule type="cellIs" dxfId="148" priority="26" operator="equal">
      <formula>"OK"</formula>
    </cfRule>
  </conditionalFormatting>
  <conditionalFormatting sqref="I38:I42">
    <cfRule type="cellIs" dxfId="147" priority="22" operator="equal">
      <formula>"Rådfør med MFE"</formula>
    </cfRule>
  </conditionalFormatting>
  <conditionalFormatting sqref="J38:J42">
    <cfRule type="cellIs" dxfId="146" priority="19" operator="equal">
      <formula>"Kontakt MFE"</formula>
    </cfRule>
    <cfRule type="cellIs" dxfId="145" priority="20" operator="equal">
      <formula>"IKKE OK"</formula>
    </cfRule>
    <cfRule type="cellIs" dxfId="144" priority="21" operator="equal">
      <formula>"OK"</formula>
    </cfRule>
  </conditionalFormatting>
  <conditionalFormatting sqref="K70:K74">
    <cfRule type="cellIs" dxfId="143" priority="12" operator="equal">
      <formula>"Rådfør med MFE"</formula>
    </cfRule>
  </conditionalFormatting>
  <conditionalFormatting sqref="M70:N74">
    <cfRule type="cellIs" dxfId="142" priority="8" operator="equal">
      <formula>"IKKE OK"</formula>
    </cfRule>
    <cfRule type="cellIs" dxfId="141" priority="9" operator="equal">
      <formula>"OK"</formula>
    </cfRule>
  </conditionalFormatting>
  <pageMargins left="0.7" right="0.7" top="0.75" bottom="0.75" header="0.3" footer="0.3"/>
  <pageSetup paperSize="9" orientation="portrait" r:id="rId1"/>
  <ignoredErrors>
    <ignoredError sqref="N4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4" id="{69D48958-BD75-438A-B681-BD48DDC6C808}">
            <xm:f>OR(Oplysningsside!$B$15="C bue",Oplysningsside!$B$15="Mini C bue",Oplysningsside!$B$15="Intervention")</xm:f>
            <x14:dxf>
              <font>
                <color theme="0"/>
              </font>
              <fill>
                <patternFill patternType="none">
                  <bgColor auto="1"/>
                </patternFill>
              </fill>
              <border>
                <left style="thin">
                  <color auto="1"/>
                </left>
                <right style="thin">
                  <color auto="1"/>
                </right>
                <top/>
                <bottom style="thin">
                  <color auto="1"/>
                </bottom>
                <vertical/>
                <horizontal/>
              </border>
            </x14:dxf>
          </x14:cfRule>
          <xm:sqref>A35</xm:sqref>
        </x14:conditionalFormatting>
        <x14:conditionalFormatting xmlns:xm="http://schemas.microsoft.com/office/excel/2006/main">
          <x14:cfRule type="expression" priority="14" id="{C21D0237-31DF-4033-9469-81CFE9115B0B}">
            <xm:f>OR(Oplysningsside!$B$15="C bue",Oplysningsside!$B$15="Mini C bue",Oplysningsside!$B$15="Intervention",Oplysningsside!$B$15="R/F system")</xm:f>
            <x14:dxf>
              <font>
                <color theme="0"/>
              </font>
              <fill>
                <patternFill patternType="solid">
                  <bgColor theme="0" tint="-4.9989318521683403E-2"/>
                </patternFill>
              </fill>
              <border>
                <left style="thin">
                  <color auto="1"/>
                </left>
                <right style="thin">
                  <color auto="1"/>
                </right>
                <top/>
                <bottom style="thin">
                  <color auto="1"/>
                </bottom>
                <vertical/>
                <horizontal/>
              </border>
            </x14:dxf>
          </x14:cfRule>
          <xm:sqref>A66</xm:sqref>
        </x14:conditionalFormatting>
        <x14:conditionalFormatting xmlns:xm="http://schemas.microsoft.com/office/excel/2006/main">
          <x14:cfRule type="expression" priority="23" id="{F9B6BAEF-A5A9-4EF4-9347-59CEE301FD69}">
            <xm:f>OR(Oplysningsside!$B$15="C bue",Oplysningsside!$B$15="Mini C bue",Oplysningsside!$B$15="Intervention")</xm:f>
            <x14:dxf>
              <font>
                <color theme="0"/>
              </font>
              <fill>
                <patternFill patternType="none">
                  <bgColor auto="1"/>
                </patternFill>
              </fill>
              <border>
                <left style="thin">
                  <color auto="1"/>
                </left>
                <right/>
                <top/>
                <bottom style="thin">
                  <color auto="1"/>
                </bottom>
                <vertical/>
                <horizontal/>
              </border>
            </x14:dxf>
          </x14:cfRule>
          <xm:sqref>B35</xm:sqref>
        </x14:conditionalFormatting>
        <x14:conditionalFormatting xmlns:xm="http://schemas.microsoft.com/office/excel/2006/main">
          <x14:cfRule type="expression" priority="13" id="{1172D13C-043A-4CC5-86FE-EBBF18218855}">
            <xm:f>OR(Oplysningsside!$B$15="C bue",Oplysningsside!$B$15="Mini C bue",Oplysningsside!$B$15="Intervention",Oplysningsside!$B$15="R/F system")</xm:f>
            <x14:dxf>
              <font>
                <color theme="0"/>
              </font>
              <fill>
                <patternFill patternType="solid">
                  <bgColor theme="0" tint="-4.9989318521683403E-2"/>
                </patternFill>
              </fill>
              <border>
                <left style="thin">
                  <color auto="1"/>
                </left>
                <right/>
                <top/>
                <bottom style="thin">
                  <color auto="1"/>
                </bottom>
                <vertical/>
                <horizontal/>
              </border>
            </x14:dxf>
          </x14:cfRule>
          <xm:sqref>B66</xm:sqref>
        </x14:conditionalFormatting>
        <x14:conditionalFormatting xmlns:xm="http://schemas.microsoft.com/office/excel/2006/main">
          <x14:cfRule type="expression" priority="16" id="{73328FFE-BC3D-4E88-A126-820ED5694BD7}">
            <xm:f>OR(Oplysningsside!$B$15="C bue",Oplysningsside!$B$15="Mini C bue",Oplysningsside!$B$15="Intervention")</xm:f>
            <x14:dxf>
              <font>
                <color theme="0"/>
              </font>
              <fill>
                <patternFill patternType="none">
                  <bgColor auto="1"/>
                </patternFill>
              </fill>
              <border>
                <left style="thin">
                  <color auto="1"/>
                </left>
                <right/>
                <top/>
                <bottom/>
              </border>
            </x14:dxf>
          </x14:cfRule>
          <xm:sqref>F31:F42</xm:sqref>
        </x14:conditionalFormatting>
        <x14:conditionalFormatting xmlns:xm="http://schemas.microsoft.com/office/excel/2006/main">
          <x14:cfRule type="expression" priority="18" id="{C1CBDFAD-29EE-44E8-9AC2-E63F7801F2CF}">
            <xm:f>OR(Oplysningsside!$B$15="C bue",Oplysningsside!$B$15="Mini C bue",Oplysningsside!$B$15="Intervention")</xm:f>
            <x14:dxf>
              <font>
                <color theme="0"/>
              </font>
              <fill>
                <patternFill patternType="none">
                  <bgColor auto="1"/>
                </patternFill>
              </fill>
              <border>
                <left style="thin">
                  <color auto="1"/>
                </left>
                <right style="thin">
                  <color auto="1"/>
                </right>
                <top/>
                <bottom/>
                <vertical/>
                <horizontal/>
              </border>
            </x14:dxf>
          </x14:cfRule>
          <xm:sqref>F35</xm:sqref>
        </x14:conditionalFormatting>
        <x14:conditionalFormatting xmlns:xm="http://schemas.microsoft.com/office/excel/2006/main">
          <x14:cfRule type="expression" priority="15" id="{619FF8A6-2CED-4DFC-B12F-799B757D6C97}">
            <xm:f>OR(Oplysningsside!$B$15="C bue",Oplysningsside!$B$15="Mini C bue",Oplysningsside!$B$15="Intervention")</xm:f>
            <x14:dxf>
              <font>
                <color theme="0"/>
              </font>
              <fill>
                <patternFill patternType="solid">
                  <bgColor theme="0" tint="-4.9989318521683403E-2"/>
                </patternFill>
              </fill>
              <border>
                <left/>
                <right/>
                <top/>
                <bottom/>
              </border>
            </x14:dxf>
          </x14:cfRule>
          <xm:sqref>G31:J42</xm:sqref>
        </x14:conditionalFormatting>
        <x14:conditionalFormatting xmlns:xm="http://schemas.microsoft.com/office/excel/2006/main">
          <x14:cfRule type="expression" priority="2" id="{5B036275-C82F-4446-879B-5FCDDB03381B}">
            <xm:f>OR(Oplysningsside!$B$15="C bue",Oplysningsside!$B$15="Mini C bue",Oplysningsside!$B$15="Intervention",Oplysningsside!$B$15="R/F system")</xm:f>
            <x14:dxf>
              <font>
                <color theme="0"/>
              </font>
              <fill>
                <patternFill patternType="solid">
                  <bgColor theme="0" tint="-4.9989318521683403E-2"/>
                </patternFill>
              </fill>
              <border>
                <left style="thin">
                  <color auto="1"/>
                </left>
                <right/>
                <top/>
                <bottom/>
              </border>
            </x14:dxf>
          </x14:cfRule>
          <xm:sqref>H62:H74</xm:sqref>
        </x14:conditionalFormatting>
        <x14:conditionalFormatting xmlns:xm="http://schemas.microsoft.com/office/excel/2006/main">
          <x14:cfRule type="expression" priority="1" id="{74DA109E-EB24-4C26-8307-811326A3B5B9}">
            <xm:f>OR(Oplysningsside!$B$15="C bue",Oplysningsside!$B$15="Mini C bue",Oplysningsside!$B$15="Intervention",Oplysningsside!$B$15="R/F system")</xm:f>
            <x14:dxf>
              <font>
                <color theme="0"/>
              </font>
              <fill>
                <patternFill patternType="solid">
                  <bgColor theme="0" tint="-4.9989318521683403E-2"/>
                </patternFill>
              </fill>
              <border>
                <left/>
                <right/>
                <top/>
                <bottom/>
              </border>
            </x14:dxf>
          </x14:cfRule>
          <xm:sqref>I62:N74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7BAA9AE-DB81-47DE-A9C8-432779C21833}">
          <x14:formula1>
            <xm:f>Data!$O$5:$O$7</xm:f>
          </x14:formula1>
          <xm:sqref>F34 H65 A65 A34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642ACA-C676-47BF-AB73-CD9BB715F062}">
  <sheetPr>
    <tabColor rgb="FF92D050"/>
  </sheetPr>
  <dimension ref="A1:AK309"/>
  <sheetViews>
    <sheetView zoomScaleNormal="100" workbookViewId="0">
      <selection activeCell="K314" sqref="K314"/>
    </sheetView>
  </sheetViews>
  <sheetFormatPr defaultColWidth="9.109375" defaultRowHeight="14.4" x14ac:dyDescent="0.3"/>
  <cols>
    <col min="1" max="10" width="14.44140625" style="184" customWidth="1"/>
    <col min="11" max="11" width="15.33203125" style="184" customWidth="1"/>
    <col min="12" max="14" width="14.44140625" style="184" customWidth="1"/>
    <col min="15" max="15" width="14.6640625" style="184" customWidth="1"/>
    <col min="16" max="17" width="14.44140625" style="184" customWidth="1"/>
    <col min="18" max="19" width="15.109375" style="184" customWidth="1"/>
    <col min="20" max="20" width="14.44140625" style="184" customWidth="1"/>
    <col min="21" max="21" width="14.33203125" style="184" customWidth="1"/>
    <col min="22" max="36" width="14.44140625" style="184" customWidth="1"/>
    <col min="37" max="37" width="15.44140625" style="184" customWidth="1"/>
    <col min="38" max="16384" width="9.109375" style="184"/>
  </cols>
  <sheetData>
    <row r="1" spans="1:20" x14ac:dyDescent="0.3">
      <c r="A1" s="27" t="s">
        <v>1</v>
      </c>
      <c r="B1" s="28"/>
      <c r="C1" s="444" t="str">
        <f>Oplysningsside!B2</f>
        <v>Region H</v>
      </c>
      <c r="D1" s="444"/>
      <c r="E1" s="444"/>
      <c r="F1" s="28"/>
      <c r="G1" s="370"/>
      <c r="H1" s="30" t="s">
        <v>3</v>
      </c>
      <c r="I1" s="28"/>
      <c r="J1" s="444" t="str">
        <f>Oplysningsside!E2</f>
        <v>Modtagekontrol</v>
      </c>
      <c r="K1" s="444"/>
      <c r="L1" s="444"/>
      <c r="M1" s="28"/>
      <c r="N1" s="30" t="s">
        <v>461</v>
      </c>
      <c r="O1" s="28"/>
      <c r="P1" s="399" t="str">
        <f>Oplysningsside!G2</f>
        <v>GE2</v>
      </c>
      <c r="Q1" s="448"/>
      <c r="R1" s="20"/>
      <c r="S1" s="20"/>
      <c r="T1" s="20"/>
    </row>
    <row r="2" spans="1:20" x14ac:dyDescent="0.3">
      <c r="A2" s="32" t="s">
        <v>74</v>
      </c>
      <c r="B2" s="33"/>
      <c r="C2" s="445" t="str">
        <f>Oplysningsside!B3</f>
        <v>HGH Herlev</v>
      </c>
      <c r="D2" s="445"/>
      <c r="E2" s="445"/>
      <c r="F2" s="33"/>
      <c r="G2" s="371"/>
      <c r="H2" s="229" t="s">
        <v>132</v>
      </c>
      <c r="I2" s="229"/>
      <c r="J2" s="445" t="str">
        <f>Oplysningsside!E3</f>
        <v>C bue</v>
      </c>
      <c r="K2" s="445"/>
      <c r="L2" s="445"/>
      <c r="M2" s="33"/>
      <c r="N2" s="35" t="s">
        <v>6</v>
      </c>
      <c r="O2" s="33"/>
      <c r="P2" s="449">
        <f>Oplysningsside!G3</f>
        <v>45475</v>
      </c>
      <c r="Q2" s="450"/>
      <c r="R2" s="20"/>
      <c r="S2" s="20"/>
      <c r="T2" s="20"/>
    </row>
    <row r="3" spans="1:20" x14ac:dyDescent="0.3">
      <c r="A3" s="37" t="s">
        <v>73</v>
      </c>
      <c r="B3" s="33"/>
      <c r="C3" s="445" t="str">
        <f>Oplysningsside!B4</f>
        <v>Røntgen</v>
      </c>
      <c r="D3" s="445"/>
      <c r="E3" s="445"/>
      <c r="F3" s="33"/>
      <c r="G3" s="371"/>
      <c r="H3" s="35" t="s">
        <v>5</v>
      </c>
      <c r="I3" s="33"/>
      <c r="J3" s="445" t="str">
        <f>Oplysningsside!E4</f>
        <v>Fluorostar</v>
      </c>
      <c r="K3" s="445"/>
      <c r="L3" s="445"/>
      <c r="M3" s="33"/>
      <c r="N3" s="35" t="s">
        <v>8</v>
      </c>
      <c r="O3" s="33"/>
      <c r="P3" s="400" t="str">
        <f>Oplysningsside!G4</f>
        <v>EHA</v>
      </c>
      <c r="Q3" s="451"/>
      <c r="R3" s="20"/>
      <c r="S3" s="20"/>
      <c r="T3" s="20"/>
    </row>
    <row r="4" spans="1:20" x14ac:dyDescent="0.3">
      <c r="A4" s="32" t="s">
        <v>9</v>
      </c>
      <c r="B4" s="33"/>
      <c r="C4" s="446" t="str">
        <f>Oplysningsside!B5</f>
        <v>10</v>
      </c>
      <c r="D4" s="446"/>
      <c r="E4" s="446"/>
      <c r="F4" s="33"/>
      <c r="G4" s="371"/>
      <c r="H4" s="35" t="s">
        <v>7</v>
      </c>
      <c r="I4" s="33"/>
      <c r="J4" s="446" t="str">
        <f>Oplysningsside!E5</f>
        <v>1</v>
      </c>
      <c r="K4" s="446"/>
      <c r="L4" s="446"/>
      <c r="M4" s="33"/>
      <c r="N4" s="33" t="s">
        <v>11</v>
      </c>
      <c r="O4" s="33"/>
      <c r="P4" s="449">
        <f>Oplysningsside!G5</f>
        <v>45476</v>
      </c>
      <c r="Q4" s="450"/>
      <c r="R4" s="20"/>
      <c r="S4" s="20"/>
      <c r="T4" s="20"/>
    </row>
    <row r="5" spans="1:20" x14ac:dyDescent="0.3">
      <c r="A5" s="8" t="s">
        <v>585</v>
      </c>
      <c r="B5" s="38"/>
      <c r="C5" s="447">
        <f>Oplysningsside!$B$6</f>
        <v>3</v>
      </c>
      <c r="D5" s="447"/>
      <c r="E5" s="447"/>
      <c r="F5" s="38"/>
      <c r="G5" s="38"/>
      <c r="H5" s="9" t="s">
        <v>460</v>
      </c>
      <c r="I5" s="38"/>
      <c r="J5" s="453">
        <f>Oplysningsside!E6</f>
        <v>2</v>
      </c>
      <c r="K5" s="453"/>
      <c r="L5" s="453"/>
      <c r="M5" s="38"/>
      <c r="N5" s="38"/>
      <c r="O5" s="38"/>
      <c r="P5" s="447"/>
      <c r="Q5" s="452"/>
      <c r="R5" s="20"/>
      <c r="S5" s="20"/>
      <c r="T5" s="20"/>
    </row>
    <row r="6" spans="1:20" x14ac:dyDescent="0.3">
      <c r="R6" s="54"/>
      <c r="S6" s="54"/>
      <c r="T6" s="54"/>
    </row>
    <row r="7" spans="1:20" ht="25.8" x14ac:dyDescent="0.5">
      <c r="A7" s="40" t="s">
        <v>510</v>
      </c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139"/>
      <c r="P7" s="43" t="s">
        <v>2</v>
      </c>
      <c r="Q7" s="41"/>
      <c r="R7" s="54"/>
      <c r="S7" s="54"/>
      <c r="T7" s="54"/>
    </row>
    <row r="8" spans="1:20" x14ac:dyDescent="0.3">
      <c r="R8" s="54"/>
      <c r="S8" s="54"/>
      <c r="T8" s="54"/>
    </row>
    <row r="9" spans="1:20" ht="20.399999999999999" x14ac:dyDescent="0.45">
      <c r="A9" s="46" t="s">
        <v>765</v>
      </c>
      <c r="B9" s="48"/>
      <c r="C9" s="48"/>
      <c r="D9" s="48"/>
      <c r="E9" s="135"/>
      <c r="F9" s="46" t="s">
        <v>600</v>
      </c>
      <c r="G9" s="46"/>
      <c r="H9" s="48"/>
      <c r="I9" s="135"/>
      <c r="J9" s="48"/>
      <c r="K9" s="48"/>
      <c r="L9" s="48"/>
      <c r="M9" s="48"/>
      <c r="N9" s="48"/>
      <c r="O9" s="48"/>
      <c r="P9" s="48"/>
      <c r="Q9" s="48"/>
      <c r="R9" s="54"/>
      <c r="S9" s="54"/>
      <c r="T9" s="54"/>
    </row>
    <row r="11" spans="1:20" x14ac:dyDescent="0.3">
      <c r="A11" s="49" t="s">
        <v>155</v>
      </c>
      <c r="B11" s="50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73" t="s">
        <v>96</v>
      </c>
      <c r="O11" s="50"/>
      <c r="P11" s="50"/>
      <c r="Q11" s="50"/>
    </row>
    <row r="12" spans="1:20" ht="15" customHeight="1" x14ac:dyDescent="0.3">
      <c r="A12" s="51" t="s">
        <v>44</v>
      </c>
      <c r="B12" s="52" t="s">
        <v>672</v>
      </c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478"/>
      <c r="O12" s="479"/>
      <c r="P12" s="479"/>
      <c r="Q12" s="480"/>
    </row>
    <row r="13" spans="1:20" ht="15" customHeight="1" x14ac:dyDescent="0.3">
      <c r="A13" s="44" t="s">
        <v>45</v>
      </c>
      <c r="B13" s="54" t="s">
        <v>766</v>
      </c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54"/>
      <c r="N13" s="456"/>
      <c r="O13" s="457"/>
      <c r="P13" s="457"/>
      <c r="Q13" s="458"/>
    </row>
    <row r="14" spans="1:20" ht="15" customHeight="1" x14ac:dyDescent="0.3">
      <c r="A14" s="44" t="s">
        <v>46</v>
      </c>
      <c r="B14" s="184" t="s">
        <v>673</v>
      </c>
      <c r="C14" s="54"/>
      <c r="D14" s="54"/>
      <c r="E14" s="54"/>
      <c r="F14" s="54"/>
      <c r="G14" s="54"/>
      <c r="H14" s="54"/>
      <c r="I14" s="54"/>
      <c r="J14" s="54"/>
      <c r="K14" s="54"/>
      <c r="L14" s="54"/>
      <c r="M14" s="54"/>
      <c r="N14" s="456"/>
      <c r="O14" s="457"/>
      <c r="P14" s="457"/>
      <c r="Q14" s="458"/>
    </row>
    <row r="15" spans="1:20" ht="15" customHeight="1" x14ac:dyDescent="0.35">
      <c r="A15" s="44"/>
      <c r="B15" s="26" t="s">
        <v>773</v>
      </c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456"/>
      <c r="O15" s="457"/>
      <c r="P15" s="457"/>
      <c r="Q15" s="458"/>
    </row>
    <row r="16" spans="1:20" ht="15" customHeight="1" x14ac:dyDescent="0.3">
      <c r="A16" s="44"/>
      <c r="B16" s="54" t="s">
        <v>511</v>
      </c>
      <c r="C16" s="54"/>
      <c r="D16" s="54"/>
      <c r="E16" s="54"/>
      <c r="F16" s="54"/>
      <c r="G16" s="54"/>
      <c r="H16" s="54"/>
      <c r="I16" s="54"/>
      <c r="J16" s="54"/>
      <c r="K16" s="54"/>
      <c r="L16" s="54"/>
      <c r="M16" s="54"/>
      <c r="N16" s="456"/>
      <c r="O16" s="457"/>
      <c r="P16" s="457"/>
      <c r="Q16" s="458"/>
    </row>
    <row r="17" spans="1:17" ht="15" customHeight="1" x14ac:dyDescent="0.3">
      <c r="A17" s="44"/>
      <c r="B17" s="54" t="s">
        <v>512</v>
      </c>
      <c r="C17" s="54"/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456"/>
      <c r="O17" s="457"/>
      <c r="P17" s="457"/>
      <c r="Q17" s="458"/>
    </row>
    <row r="18" spans="1:17" ht="15" customHeight="1" x14ac:dyDescent="0.3">
      <c r="A18" s="44"/>
      <c r="B18" s="54" t="s">
        <v>675</v>
      </c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456"/>
      <c r="O18" s="457"/>
      <c r="P18" s="457"/>
      <c r="Q18" s="458"/>
    </row>
    <row r="19" spans="1:17" ht="15" customHeight="1" x14ac:dyDescent="0.3">
      <c r="A19" s="44"/>
      <c r="B19" s="54" t="s">
        <v>674</v>
      </c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456"/>
      <c r="O19" s="457"/>
      <c r="P19" s="457"/>
      <c r="Q19" s="458"/>
    </row>
    <row r="20" spans="1:17" ht="15" customHeight="1" x14ac:dyDescent="0.35">
      <c r="A20" s="44"/>
      <c r="B20" s="54" t="s">
        <v>775</v>
      </c>
      <c r="C20" s="54"/>
      <c r="D20" s="54"/>
      <c r="E20" s="54"/>
      <c r="F20" s="54"/>
      <c r="G20" s="54"/>
      <c r="H20" s="54"/>
      <c r="I20" s="54"/>
      <c r="J20" s="54"/>
      <c r="K20" s="54"/>
      <c r="L20" s="54"/>
      <c r="M20" s="54"/>
      <c r="N20" s="456"/>
      <c r="O20" s="457"/>
      <c r="P20" s="457"/>
      <c r="Q20" s="458"/>
    </row>
    <row r="21" spans="1:17" ht="15" customHeight="1" x14ac:dyDescent="0.35">
      <c r="A21" s="44"/>
      <c r="B21" s="54" t="s">
        <v>776</v>
      </c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456"/>
      <c r="O21" s="457"/>
      <c r="P21" s="457"/>
      <c r="Q21" s="458"/>
    </row>
    <row r="22" spans="1:17" ht="15" customHeight="1" x14ac:dyDescent="0.3">
      <c r="A22" s="44"/>
      <c r="B22" s="89" t="s">
        <v>236</v>
      </c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456"/>
      <c r="O22" s="457"/>
      <c r="P22" s="457"/>
      <c r="Q22" s="458"/>
    </row>
    <row r="23" spans="1:17" ht="15" customHeight="1" x14ac:dyDescent="0.3">
      <c r="A23" s="44"/>
      <c r="B23" s="54" t="s">
        <v>768</v>
      </c>
      <c r="C23" s="54"/>
      <c r="D23" s="54"/>
      <c r="E23" s="54"/>
      <c r="F23" s="54"/>
      <c r="G23" s="54"/>
      <c r="H23" s="54"/>
      <c r="I23" s="54"/>
      <c r="J23" s="54"/>
      <c r="K23" s="54"/>
      <c r="L23" s="54"/>
      <c r="M23" s="54"/>
      <c r="N23" s="456"/>
      <c r="O23" s="457"/>
      <c r="P23" s="457"/>
      <c r="Q23" s="458"/>
    </row>
    <row r="24" spans="1:17" ht="15" customHeight="1" x14ac:dyDescent="0.35">
      <c r="A24" s="44"/>
      <c r="B24" s="54" t="s">
        <v>777</v>
      </c>
      <c r="C24" s="54"/>
      <c r="D24" s="54"/>
      <c r="E24" s="54"/>
      <c r="F24" s="54"/>
      <c r="G24" s="54"/>
      <c r="H24" s="54"/>
      <c r="I24" s="54"/>
      <c r="J24" s="54"/>
      <c r="K24" s="54"/>
      <c r="L24" s="54"/>
      <c r="M24" s="54"/>
      <c r="N24" s="456"/>
      <c r="O24" s="457"/>
      <c r="P24" s="457"/>
      <c r="Q24" s="458"/>
    </row>
    <row r="25" spans="1:17" ht="15" customHeight="1" x14ac:dyDescent="0.3">
      <c r="A25" s="44"/>
      <c r="B25" s="89" t="s">
        <v>237</v>
      </c>
      <c r="C25" s="54"/>
      <c r="D25" s="54"/>
      <c r="E25" s="54"/>
      <c r="F25" s="54"/>
      <c r="G25" s="54"/>
      <c r="H25" s="54"/>
      <c r="I25" s="54"/>
      <c r="J25" s="54"/>
      <c r="K25" s="54"/>
      <c r="L25" s="54"/>
      <c r="M25" s="54"/>
      <c r="N25" s="456"/>
      <c r="O25" s="457"/>
      <c r="P25" s="457"/>
      <c r="Q25" s="458"/>
    </row>
    <row r="26" spans="1:17" ht="15" customHeight="1" x14ac:dyDescent="0.3">
      <c r="A26" s="44"/>
      <c r="B26" s="54" t="s">
        <v>769</v>
      </c>
      <c r="C26" s="54"/>
      <c r="D26" s="54"/>
      <c r="E26" s="54"/>
      <c r="F26" s="54"/>
      <c r="G26" s="54"/>
      <c r="H26" s="54"/>
      <c r="I26" s="54"/>
      <c r="J26" s="54"/>
      <c r="K26" s="54"/>
      <c r="L26" s="54"/>
      <c r="M26" s="54"/>
      <c r="N26" s="456"/>
      <c r="O26" s="457"/>
      <c r="P26" s="457"/>
      <c r="Q26" s="458"/>
    </row>
    <row r="27" spans="1:17" ht="15" customHeight="1" x14ac:dyDescent="0.3">
      <c r="A27" s="44"/>
      <c r="B27" s="54" t="s">
        <v>676</v>
      </c>
      <c r="C27" s="54"/>
      <c r="D27" s="54"/>
      <c r="E27" s="54"/>
      <c r="F27" s="54"/>
      <c r="G27" s="54"/>
      <c r="H27" s="54"/>
      <c r="I27" s="54"/>
      <c r="J27" s="54"/>
      <c r="K27" s="54"/>
      <c r="L27" s="54"/>
      <c r="M27" s="54"/>
      <c r="N27" s="456"/>
      <c r="O27" s="457"/>
      <c r="P27" s="457"/>
      <c r="Q27" s="458"/>
    </row>
    <row r="28" spans="1:17" ht="15" customHeight="1" x14ac:dyDescent="0.3">
      <c r="A28" s="44"/>
      <c r="B28" s="54" t="s">
        <v>792</v>
      </c>
      <c r="C28" s="54"/>
      <c r="D28" s="54"/>
      <c r="E28" s="54"/>
      <c r="F28" s="54"/>
      <c r="G28" s="54"/>
      <c r="H28" s="54"/>
      <c r="I28" s="54"/>
      <c r="J28" s="54"/>
      <c r="K28" s="54"/>
      <c r="L28" s="54"/>
      <c r="M28" s="54"/>
      <c r="N28" s="456"/>
      <c r="O28" s="457"/>
      <c r="P28" s="457"/>
      <c r="Q28" s="458"/>
    </row>
    <row r="29" spans="1:17" ht="15" customHeight="1" x14ac:dyDescent="0.3">
      <c r="A29" s="44"/>
      <c r="B29" s="184" t="s">
        <v>793</v>
      </c>
      <c r="C29" s="54"/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456"/>
      <c r="O29" s="457"/>
      <c r="P29" s="457"/>
      <c r="Q29" s="458"/>
    </row>
    <row r="30" spans="1:17" ht="15" customHeight="1" x14ac:dyDescent="0.3">
      <c r="A30" s="44"/>
      <c r="B30" s="54" t="s">
        <v>794</v>
      </c>
      <c r="C30" s="54"/>
      <c r="D30" s="54"/>
      <c r="E30" s="54"/>
      <c r="F30" s="54"/>
      <c r="G30" s="54"/>
      <c r="H30" s="54"/>
      <c r="I30" s="54"/>
      <c r="J30" s="54"/>
      <c r="K30" s="54"/>
      <c r="L30" s="54"/>
      <c r="M30" s="54"/>
      <c r="N30" s="456"/>
      <c r="O30" s="457"/>
      <c r="P30" s="457"/>
      <c r="Q30" s="458"/>
    </row>
    <row r="31" spans="1:17" ht="15" customHeight="1" x14ac:dyDescent="0.3">
      <c r="A31" s="44"/>
      <c r="B31" s="26" t="s">
        <v>767</v>
      </c>
      <c r="C31" s="54"/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456"/>
      <c r="O31" s="457"/>
      <c r="P31" s="457"/>
      <c r="Q31" s="458"/>
    </row>
    <row r="32" spans="1:17" ht="15" customHeight="1" x14ac:dyDescent="0.3">
      <c r="A32" s="44"/>
      <c r="B32" s="54" t="s">
        <v>677</v>
      </c>
      <c r="C32" s="54"/>
      <c r="D32" s="54"/>
      <c r="E32" s="54"/>
      <c r="F32" s="54"/>
      <c r="G32" s="54"/>
      <c r="H32" s="54"/>
      <c r="I32" s="54"/>
      <c r="J32" s="54"/>
      <c r="K32" s="54"/>
      <c r="L32" s="54"/>
      <c r="M32" s="54"/>
      <c r="N32" s="456"/>
      <c r="O32" s="457"/>
      <c r="P32" s="457"/>
      <c r="Q32" s="458"/>
    </row>
    <row r="33" spans="1:19" ht="15" customHeight="1" x14ac:dyDescent="0.3">
      <c r="A33" s="44"/>
      <c r="B33" s="54" t="s">
        <v>770</v>
      </c>
      <c r="C33" s="54"/>
      <c r="D33" s="54"/>
      <c r="E33" s="54"/>
      <c r="F33" s="54"/>
      <c r="G33" s="54"/>
      <c r="H33" s="54"/>
      <c r="I33" s="54"/>
      <c r="J33" s="54"/>
      <c r="K33" s="54"/>
      <c r="L33" s="54"/>
      <c r="M33" s="54"/>
      <c r="N33" s="456"/>
      <c r="O33" s="457"/>
      <c r="P33" s="457"/>
      <c r="Q33" s="458"/>
    </row>
    <row r="34" spans="1:19" ht="15" customHeight="1" x14ac:dyDescent="0.35">
      <c r="A34" s="44"/>
      <c r="B34" s="26" t="s">
        <v>774</v>
      </c>
      <c r="C34" s="54"/>
      <c r="D34" s="54"/>
      <c r="E34" s="54"/>
      <c r="F34" s="54"/>
      <c r="G34" s="54"/>
      <c r="H34" s="54"/>
      <c r="I34" s="54"/>
      <c r="J34" s="54"/>
      <c r="K34" s="54"/>
      <c r="L34" s="54"/>
      <c r="M34" s="54"/>
      <c r="N34" s="456"/>
      <c r="O34" s="457"/>
      <c r="P34" s="457"/>
      <c r="Q34" s="458"/>
    </row>
    <row r="35" spans="1:19" ht="15" customHeight="1" x14ac:dyDescent="0.3">
      <c r="A35" s="44"/>
      <c r="B35" s="54" t="s">
        <v>771</v>
      </c>
      <c r="C35" s="54"/>
      <c r="D35" s="54"/>
      <c r="E35" s="54"/>
      <c r="F35" s="54"/>
      <c r="G35" s="54"/>
      <c r="H35" s="54"/>
      <c r="I35" s="54"/>
      <c r="J35" s="54"/>
      <c r="K35" s="54"/>
      <c r="L35" s="54"/>
      <c r="M35" s="54"/>
      <c r="N35" s="456"/>
      <c r="O35" s="457"/>
      <c r="P35" s="457"/>
      <c r="Q35" s="458"/>
    </row>
    <row r="36" spans="1:19" ht="15" customHeight="1" x14ac:dyDescent="0.3">
      <c r="A36" s="44"/>
      <c r="B36" s="54" t="s">
        <v>772</v>
      </c>
      <c r="C36" s="54"/>
      <c r="D36" s="54"/>
      <c r="E36" s="54"/>
      <c r="F36" s="54"/>
      <c r="G36" s="54"/>
      <c r="H36" s="54"/>
      <c r="I36" s="54"/>
      <c r="J36" s="54"/>
      <c r="K36" s="54"/>
      <c r="L36" s="54"/>
      <c r="M36" s="54"/>
      <c r="N36" s="456"/>
      <c r="O36" s="457"/>
      <c r="P36" s="457"/>
      <c r="Q36" s="458"/>
    </row>
    <row r="37" spans="1:19" ht="15" customHeight="1" x14ac:dyDescent="0.3">
      <c r="A37" s="44"/>
      <c r="B37" s="54" t="s">
        <v>513</v>
      </c>
      <c r="C37" s="54"/>
      <c r="D37" s="54"/>
      <c r="E37" s="54"/>
      <c r="F37" s="54"/>
      <c r="G37" s="54"/>
      <c r="H37" s="54"/>
      <c r="I37" s="54"/>
      <c r="J37" s="54"/>
      <c r="K37" s="54"/>
      <c r="L37" s="54"/>
      <c r="M37" s="54"/>
      <c r="N37" s="456"/>
      <c r="O37" s="457"/>
      <c r="P37" s="457"/>
      <c r="Q37" s="458"/>
    </row>
    <row r="38" spans="1:19" ht="15" customHeight="1" x14ac:dyDescent="0.3">
      <c r="A38" s="53" t="s">
        <v>47</v>
      </c>
      <c r="B38" s="184" t="s">
        <v>787</v>
      </c>
      <c r="C38" s="54"/>
      <c r="D38" s="54"/>
      <c r="E38" s="54"/>
      <c r="F38" s="54"/>
      <c r="G38" s="54"/>
      <c r="H38" s="54"/>
      <c r="I38" s="54"/>
      <c r="J38" s="54"/>
      <c r="K38" s="54"/>
      <c r="L38" s="54"/>
      <c r="M38" s="54"/>
      <c r="N38" s="456"/>
      <c r="O38" s="457"/>
      <c r="P38" s="457"/>
      <c r="Q38" s="458"/>
    </row>
    <row r="39" spans="1:19" ht="15" customHeight="1" x14ac:dyDescent="0.35">
      <c r="A39" s="53"/>
      <c r="B39" s="184" t="s">
        <v>778</v>
      </c>
      <c r="C39" s="54"/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456"/>
      <c r="O39" s="457"/>
      <c r="P39" s="457"/>
      <c r="Q39" s="458"/>
    </row>
    <row r="40" spans="1:19" x14ac:dyDescent="0.3">
      <c r="A40" s="264"/>
      <c r="B40" s="182"/>
      <c r="C40" s="77"/>
      <c r="D40" s="77"/>
      <c r="E40" s="77"/>
      <c r="F40" s="77"/>
      <c r="G40" s="77"/>
      <c r="H40" s="77"/>
      <c r="I40" s="77"/>
      <c r="J40" s="77"/>
      <c r="K40" s="77"/>
      <c r="L40" s="77"/>
      <c r="M40" s="77"/>
      <c r="N40" s="481"/>
      <c r="O40" s="482"/>
      <c r="P40" s="482"/>
      <c r="Q40" s="483"/>
    </row>
    <row r="41" spans="1:19" x14ac:dyDescent="0.3">
      <c r="A41" s="54"/>
      <c r="J41" s="47"/>
      <c r="K41" s="47"/>
      <c r="L41" s="47"/>
      <c r="M41" s="47"/>
      <c r="N41" s="47"/>
      <c r="O41" s="47"/>
      <c r="P41" s="47"/>
      <c r="Q41" s="47"/>
    </row>
    <row r="42" spans="1:19" x14ac:dyDescent="0.3">
      <c r="A42" s="56" t="s">
        <v>156</v>
      </c>
      <c r="B42" s="57"/>
      <c r="C42" s="57"/>
      <c r="D42" s="57"/>
      <c r="E42" s="57"/>
      <c r="F42" s="57"/>
      <c r="G42" s="57"/>
      <c r="H42" s="57"/>
      <c r="I42" s="57"/>
      <c r="J42" s="57"/>
      <c r="K42" s="57"/>
      <c r="L42" s="57"/>
      <c r="M42" s="57"/>
      <c r="N42" s="57"/>
      <c r="O42" s="57"/>
      <c r="P42" s="57"/>
      <c r="Q42" s="57"/>
      <c r="S42" s="233"/>
    </row>
    <row r="43" spans="1:19" x14ac:dyDescent="0.3">
      <c r="A43" s="132"/>
      <c r="B43" s="54"/>
      <c r="C43" s="54"/>
      <c r="D43" s="54"/>
      <c r="E43" s="54"/>
      <c r="F43" s="54"/>
      <c r="G43" s="54"/>
      <c r="H43" s="54"/>
      <c r="I43" s="54"/>
      <c r="J43" s="54"/>
      <c r="K43" s="54"/>
      <c r="L43" s="54"/>
      <c r="M43" s="54"/>
      <c r="N43" s="54"/>
      <c r="O43" s="54"/>
      <c r="P43" s="54"/>
      <c r="Q43" s="54"/>
      <c r="S43" s="233"/>
    </row>
    <row r="44" spans="1:19" x14ac:dyDescent="0.3">
      <c r="A44" s="113"/>
      <c r="B44" s="52" t="s">
        <v>49</v>
      </c>
      <c r="C44" s="234"/>
      <c r="D44" s="234"/>
      <c r="E44" s="234"/>
      <c r="F44" s="113"/>
      <c r="G44" s="260" t="s">
        <v>576</v>
      </c>
      <c r="H44" s="234"/>
      <c r="I44" s="234"/>
      <c r="J44" s="234"/>
      <c r="K44" s="133"/>
      <c r="L44" s="260"/>
      <c r="M44" s="234"/>
      <c r="N44" s="234"/>
      <c r="O44" s="234"/>
      <c r="P44" s="234"/>
      <c r="Q44" s="237"/>
      <c r="S44" s="233"/>
    </row>
    <row r="45" spans="1:19" x14ac:dyDescent="0.3">
      <c r="A45" s="114"/>
      <c r="B45" s="233" t="s">
        <v>154</v>
      </c>
      <c r="C45" s="233"/>
      <c r="D45" s="233"/>
      <c r="E45" s="233"/>
      <c r="F45" s="241"/>
      <c r="G45" s="258"/>
      <c r="H45" s="233"/>
      <c r="I45" s="233"/>
      <c r="J45" s="233"/>
      <c r="K45" s="209"/>
      <c r="L45" s="85"/>
      <c r="M45" s="54"/>
      <c r="N45" s="233"/>
      <c r="O45" s="233"/>
      <c r="P45" s="233"/>
      <c r="Q45" s="246"/>
      <c r="S45" s="233"/>
    </row>
    <row r="46" spans="1:19" x14ac:dyDescent="0.3">
      <c r="A46" s="114" t="s">
        <v>205</v>
      </c>
      <c r="B46" s="233" t="s">
        <v>567</v>
      </c>
      <c r="C46" s="233"/>
      <c r="D46" s="233"/>
      <c r="E46" s="233"/>
      <c r="F46" s="241" t="s">
        <v>720</v>
      </c>
      <c r="G46" s="365" t="s">
        <v>721</v>
      </c>
      <c r="H46" s="233"/>
      <c r="I46" s="54"/>
      <c r="J46" s="233"/>
      <c r="K46" s="241"/>
      <c r="L46" s="290"/>
      <c r="M46" s="54"/>
      <c r="N46" s="233"/>
      <c r="O46" s="233"/>
      <c r="P46" s="233"/>
      <c r="Q46" s="246"/>
      <c r="S46" s="233"/>
    </row>
    <row r="47" spans="1:19" ht="15.6" x14ac:dyDescent="0.35">
      <c r="A47" s="114"/>
      <c r="B47" s="233" t="s">
        <v>249</v>
      </c>
      <c r="C47" s="233"/>
      <c r="D47" s="233"/>
      <c r="E47" s="233"/>
      <c r="F47" s="114"/>
      <c r="G47" s="290" t="s">
        <v>783</v>
      </c>
      <c r="H47" s="233"/>
      <c r="I47" s="233"/>
      <c r="J47" s="233"/>
      <c r="K47" s="209"/>
      <c r="L47" s="85"/>
      <c r="M47" s="54"/>
      <c r="N47" s="233"/>
      <c r="O47" s="233"/>
      <c r="P47" s="233"/>
      <c r="Q47" s="246"/>
    </row>
    <row r="48" spans="1:19" x14ac:dyDescent="0.3">
      <c r="A48" s="114"/>
      <c r="B48" s="245" t="s">
        <v>559</v>
      </c>
      <c r="C48" s="54"/>
      <c r="D48" s="233"/>
      <c r="E48" s="233"/>
      <c r="F48" s="114"/>
      <c r="G48" s="290" t="s">
        <v>422</v>
      </c>
      <c r="H48" s="233"/>
      <c r="I48" s="233"/>
      <c r="J48" s="233"/>
      <c r="K48" s="209"/>
      <c r="L48" s="85"/>
      <c r="M48" s="54"/>
      <c r="N48" s="233"/>
      <c r="O48" s="233"/>
      <c r="P48" s="233"/>
      <c r="Q48" s="246"/>
    </row>
    <row r="49" spans="1:36" x14ac:dyDescent="0.3">
      <c r="A49" s="114"/>
      <c r="B49" s="233" t="str">
        <f>IF($A$48="","længde",IF(A48="rektangulær","kantlængde 1 [cm]","diameter [cm]"))</f>
        <v>længde</v>
      </c>
      <c r="C49" s="233"/>
      <c r="D49" s="262"/>
      <c r="E49" s="233"/>
      <c r="F49" s="114"/>
      <c r="G49" s="290" t="s">
        <v>430</v>
      </c>
      <c r="H49" s="233"/>
      <c r="I49" s="233"/>
      <c r="J49" s="233"/>
      <c r="K49" s="209"/>
      <c r="L49" s="85"/>
      <c r="M49" s="54"/>
      <c r="N49" s="233"/>
      <c r="O49" s="233"/>
      <c r="P49" s="233"/>
      <c r="Q49" s="246"/>
    </row>
    <row r="50" spans="1:36" x14ac:dyDescent="0.3">
      <c r="A50" s="114"/>
      <c r="B50" s="233" t="str">
        <f>IF($A$48="","længde",IF($A$48="rektangulær","kantlængde 2 [cm]",""))</f>
        <v>længde</v>
      </c>
      <c r="C50" s="233"/>
      <c r="D50" s="233"/>
      <c r="E50" s="233"/>
      <c r="F50" s="242" t="s">
        <v>720</v>
      </c>
      <c r="G50" s="377" t="s">
        <v>722</v>
      </c>
      <c r="H50" s="233"/>
      <c r="I50" s="233"/>
      <c r="J50" s="233"/>
      <c r="K50" s="209"/>
      <c r="L50" s="85"/>
      <c r="M50" s="54"/>
      <c r="N50" s="233"/>
      <c r="O50" s="233"/>
      <c r="P50" s="233"/>
      <c r="Q50" s="246"/>
    </row>
    <row r="51" spans="1:36" x14ac:dyDescent="0.3">
      <c r="A51" s="129" t="str">
        <f>IF(OR($A$48="",$A$49=""),"",IF($A$48="rektangulær",$A$49*$A$50,$A$49^2/4*3.14))</f>
        <v/>
      </c>
      <c r="B51" s="54" t="s">
        <v>250</v>
      </c>
      <c r="C51" s="233"/>
      <c r="D51" s="233"/>
      <c r="E51" s="233"/>
      <c r="F51" s="114"/>
      <c r="G51" s="290" t="s">
        <v>495</v>
      </c>
      <c r="H51" s="233"/>
      <c r="I51" s="233"/>
      <c r="J51" s="233"/>
      <c r="K51" s="209"/>
      <c r="L51" s="267"/>
      <c r="M51" s="233"/>
      <c r="N51" s="233"/>
      <c r="O51" s="262"/>
      <c r="P51" s="233"/>
      <c r="Q51" s="246"/>
    </row>
    <row r="52" spans="1:36" ht="15.6" x14ac:dyDescent="0.35">
      <c r="A52" s="209"/>
      <c r="C52" s="233"/>
      <c r="D52" s="233"/>
      <c r="E52" s="233"/>
      <c r="F52" s="114"/>
      <c r="G52" s="265" t="s">
        <v>784</v>
      </c>
      <c r="H52" s="233"/>
      <c r="I52" s="233"/>
      <c r="J52" s="233"/>
      <c r="K52" s="209"/>
      <c r="L52" s="267"/>
      <c r="M52" s="233"/>
      <c r="N52" s="233"/>
      <c r="O52" s="262"/>
      <c r="P52" s="233"/>
      <c r="Q52" s="246"/>
    </row>
    <row r="53" spans="1:36" x14ac:dyDescent="0.3">
      <c r="A53" s="243"/>
      <c r="B53" s="77"/>
      <c r="C53" s="182"/>
      <c r="D53" s="182"/>
      <c r="E53" s="182"/>
      <c r="F53" s="213"/>
      <c r="G53" s="264"/>
      <c r="H53" s="182"/>
      <c r="I53" s="269"/>
      <c r="J53" s="77"/>
      <c r="K53" s="213"/>
      <c r="L53" s="264"/>
      <c r="M53" s="182"/>
      <c r="N53" s="182"/>
      <c r="O53" s="182"/>
      <c r="P53" s="182"/>
      <c r="Q53" s="252"/>
      <c r="AE53" s="54"/>
      <c r="AF53" s="54"/>
      <c r="AG53" s="54"/>
      <c r="AH53" s="54"/>
      <c r="AI53" s="54"/>
      <c r="AJ53" s="54"/>
    </row>
    <row r="54" spans="1:36" ht="15.6" x14ac:dyDescent="0.35">
      <c r="A54" s="270" t="s">
        <v>479</v>
      </c>
      <c r="B54" s="333" t="s">
        <v>785</v>
      </c>
      <c r="C54" s="342"/>
      <c r="D54" s="271" t="s">
        <v>475</v>
      </c>
      <c r="E54" s="342"/>
      <c r="F54" s="342"/>
      <c r="G54" s="368"/>
      <c r="H54" s="342"/>
      <c r="I54" s="342"/>
      <c r="J54" s="339"/>
      <c r="K54" s="375" t="s">
        <v>786</v>
      </c>
      <c r="L54" s="374"/>
      <c r="M54" s="374"/>
      <c r="N54" s="273"/>
      <c r="O54" s="374"/>
      <c r="P54" s="374"/>
      <c r="Q54" s="376"/>
      <c r="S54" s="91" t="s">
        <v>480</v>
      </c>
      <c r="T54" s="332" t="s">
        <v>785</v>
      </c>
      <c r="U54" s="342"/>
      <c r="V54" s="177" t="s">
        <v>476</v>
      </c>
      <c r="W54" s="342"/>
      <c r="X54" s="342"/>
      <c r="Y54" s="342"/>
      <c r="Z54" s="342"/>
      <c r="AA54" s="339"/>
      <c r="AB54" s="272"/>
      <c r="AE54" s="26"/>
      <c r="AF54" s="54"/>
      <c r="AG54" s="54"/>
      <c r="AH54" s="274"/>
      <c r="AI54" s="54"/>
      <c r="AJ54" s="54"/>
    </row>
    <row r="55" spans="1:36" x14ac:dyDescent="0.3">
      <c r="A55" s="58" t="s">
        <v>48</v>
      </c>
      <c r="B55" s="58" t="s">
        <v>50</v>
      </c>
      <c r="C55" s="58" t="s">
        <v>51</v>
      </c>
      <c r="D55" s="58" t="str">
        <f>IF($A$46="","",IF($A$46="Ionkammer","Dosis D",(IF($A$46="SSD detektor","Dosis D","PKA"))))</f>
        <v>Dosis D</v>
      </c>
      <c r="E55" s="58" t="str">
        <f>IF($A$46="","",IF($A$46="Ionkammer","KAP",(IF($A$46="SSD detektor","PKA","Dosis D"))))</f>
        <v>PKA</v>
      </c>
      <c r="F55" s="58" t="s">
        <v>779</v>
      </c>
      <c r="G55" s="58" t="s">
        <v>780</v>
      </c>
      <c r="H55" s="58" t="s">
        <v>781</v>
      </c>
      <c r="I55" s="58" t="s">
        <v>70</v>
      </c>
      <c r="J55" s="58" t="s">
        <v>67</v>
      </c>
      <c r="K55" s="58" t="s">
        <v>573</v>
      </c>
      <c r="L55" s="188"/>
      <c r="M55" s="275"/>
      <c r="N55" s="254"/>
      <c r="O55" s="254"/>
      <c r="P55" s="254"/>
      <c r="Q55" s="198"/>
      <c r="S55" s="58" t="s">
        <v>48</v>
      </c>
      <c r="T55" s="58" t="s">
        <v>50</v>
      </c>
      <c r="U55" s="58" t="s">
        <v>51</v>
      </c>
      <c r="V55" s="58" t="str">
        <f>IF($A$46="","",IF($A$46="Ionkammer","Dosis D",(IF($A$46="SSD detektor","Dosis D","PKA"))))</f>
        <v>Dosis D</v>
      </c>
      <c r="W55" s="58" t="str">
        <f>IF($A$46="","",IF($A$46="Ionkammer","KAP",(IF($A$46="SSD detektor","PKA","Dosis D"))))</f>
        <v>PKA</v>
      </c>
      <c r="X55" s="58" t="s">
        <v>779</v>
      </c>
      <c r="Y55" s="58" t="s">
        <v>780</v>
      </c>
      <c r="Z55" s="58" t="s">
        <v>781</v>
      </c>
      <c r="AA55" s="58" t="s">
        <v>70</v>
      </c>
      <c r="AB55" s="58" t="s">
        <v>67</v>
      </c>
      <c r="AE55" s="239"/>
      <c r="AF55" s="239"/>
      <c r="AG55" s="277"/>
      <c r="AH55" s="239"/>
      <c r="AI55" s="239"/>
      <c r="AJ55" s="239"/>
    </row>
    <row r="56" spans="1:36" x14ac:dyDescent="0.3">
      <c r="A56" s="59"/>
      <c r="B56" s="59"/>
      <c r="C56" s="59"/>
      <c r="D56" s="178" t="str">
        <f>IF(OR($A$46="",$F$51=""),"",IF($A$46="Ionkammer",$F$51,(IF($A$46="SSD detektor",$F$51,$F$52))))</f>
        <v/>
      </c>
      <c r="E56" s="178" t="str">
        <f>IF($A$46="","",IF($A$46="Ionkammer","mGycm2",(IF($A$46="SSD detektor","mGycm2","mGy"))))</f>
        <v>mGycm2</v>
      </c>
      <c r="F56" s="178" t="str">
        <f>IF($F$47="","",$F$47)</f>
        <v/>
      </c>
      <c r="G56" s="178" t="str">
        <f>IF($F$47="","",$F$47)</f>
        <v/>
      </c>
      <c r="H56" s="178" t="s">
        <v>69</v>
      </c>
      <c r="I56" s="59" t="s">
        <v>58</v>
      </c>
      <c r="J56" s="59"/>
      <c r="K56" s="178" t="s">
        <v>297</v>
      </c>
      <c r="L56" s="278"/>
      <c r="M56" s="279"/>
      <c r="N56" s="279"/>
      <c r="O56" s="280"/>
      <c r="P56" s="280"/>
      <c r="Q56" s="190"/>
      <c r="S56" s="59"/>
      <c r="T56" s="59"/>
      <c r="U56" s="59"/>
      <c r="V56" s="178">
        <f>IF($A$46="","",IF($A$46="Ionkammer",$F$51,(IF($A$46="SSD detektor",$F$51,$F$52))))</f>
        <v>0</v>
      </c>
      <c r="W56" s="178" t="str">
        <f>IF($A$46="","",IF($A$46="Ionkammer","mGycm2",(IF($A$46="SSD detektor","mGycm2","mGy"))))</f>
        <v>mGycm2</v>
      </c>
      <c r="X56" s="178" t="str">
        <f>IF($F$47="","",$F$47)</f>
        <v/>
      </c>
      <c r="Y56" s="178" t="str">
        <f>IF($F$47="","",$F$47)</f>
        <v/>
      </c>
      <c r="Z56" s="178" t="s">
        <v>69</v>
      </c>
      <c r="AA56" s="59" t="s">
        <v>58</v>
      </c>
      <c r="AB56" s="59"/>
      <c r="AE56" s="282"/>
      <c r="AF56" s="282"/>
      <c r="AG56" s="282"/>
      <c r="AH56" s="282"/>
      <c r="AI56" s="239"/>
      <c r="AJ56" s="239"/>
    </row>
    <row r="57" spans="1:36" x14ac:dyDescent="0.3">
      <c r="A57" s="59"/>
      <c r="B57" s="59"/>
      <c r="C57" s="59"/>
      <c r="D57" s="59" t="str">
        <f>IF($A$46="","",IF($A$46="Ionkammer","aflæst",(IF($A$46="SSD detektor","aflæst","Ekstern"))))</f>
        <v>aflæst</v>
      </c>
      <c r="E57" s="59" t="str">
        <f>IF($A$46="","",IF($A$46="Ionkammer","beregnet",(IF($A$46="SSD detektor","beregnet","beregnet"))))</f>
        <v>beregnet</v>
      </c>
      <c r="F57" s="59" t="s">
        <v>127</v>
      </c>
      <c r="G57" s="59" t="s">
        <v>127</v>
      </c>
      <c r="H57" s="59"/>
      <c r="I57" s="59"/>
      <c r="J57" s="59"/>
      <c r="K57" s="59" t="s">
        <v>574</v>
      </c>
      <c r="L57" s="206"/>
      <c r="M57" s="280"/>
      <c r="N57" s="280"/>
      <c r="O57" s="280"/>
      <c r="P57" s="280"/>
      <c r="Q57" s="190"/>
      <c r="S57" s="59"/>
      <c r="T57" s="59"/>
      <c r="U57" s="59"/>
      <c r="V57" s="59" t="str">
        <f>IF($A$46="","",IF($A$46="Ionkammer","aflæst",(IF($A$46="SSD detektor","aflæst","Ekstern"))))</f>
        <v>aflæst</v>
      </c>
      <c r="W57" s="59" t="str">
        <f>IF($A$46="","",IF($A$46="Ionkammer","beregnet",(IF($A$46="SSD detektor","beregnet","beregnet"))))</f>
        <v>beregnet</v>
      </c>
      <c r="X57" s="59" t="s">
        <v>127</v>
      </c>
      <c r="Y57" s="59" t="s">
        <v>127</v>
      </c>
      <c r="Z57" s="59"/>
      <c r="AA57" s="59"/>
      <c r="AB57" s="59"/>
      <c r="AE57" s="239"/>
      <c r="AF57" s="239"/>
      <c r="AG57" s="239"/>
      <c r="AH57" s="239"/>
      <c r="AI57" s="239"/>
      <c r="AJ57" s="239"/>
    </row>
    <row r="58" spans="1:36" x14ac:dyDescent="0.3">
      <c r="A58" s="60"/>
      <c r="B58" s="60"/>
      <c r="C58" s="60"/>
      <c r="D58" s="60" t="str">
        <f>IF($A$46="","",IF($A$46="Ionkammer","",(IF( $A$46="SSD detektor","","Reference"))))</f>
        <v/>
      </c>
      <c r="E58" s="60" t="str">
        <f>IF($A$46="","",IF($A$46="Dosimeter","",""))</f>
        <v/>
      </c>
      <c r="F58" s="60" t="s">
        <v>254</v>
      </c>
      <c r="G58" s="60" t="s">
        <v>90</v>
      </c>
      <c r="H58" s="60" t="s">
        <v>90</v>
      </c>
      <c r="I58" s="60"/>
      <c r="J58" s="179" t="s">
        <v>128</v>
      </c>
      <c r="K58" s="60" t="s">
        <v>575</v>
      </c>
      <c r="L58" s="207"/>
      <c r="M58" s="255"/>
      <c r="N58" s="255"/>
      <c r="O58" s="255"/>
      <c r="P58" s="381"/>
      <c r="Q58" s="192"/>
      <c r="S58" s="60"/>
      <c r="T58" s="60"/>
      <c r="U58" s="60"/>
      <c r="V58" s="60" t="str">
        <f>IF($A$46="","",IF($A$46="Ionkammer","",(IF( $A$46="SSD detektor","","Reference"))))</f>
        <v/>
      </c>
      <c r="W58" s="60" t="str">
        <f>IF($A$46="","",IF($A$46="Dosimeter","",""))</f>
        <v/>
      </c>
      <c r="X58" s="60" t="s">
        <v>254</v>
      </c>
      <c r="Y58" s="60" t="s">
        <v>90</v>
      </c>
      <c r="Z58" s="60" t="s">
        <v>90</v>
      </c>
      <c r="AA58" s="60"/>
      <c r="AB58" s="179" t="s">
        <v>128</v>
      </c>
      <c r="AE58" s="239"/>
      <c r="AF58" s="239"/>
      <c r="AG58" s="239"/>
      <c r="AH58" s="239"/>
      <c r="AI58" s="239"/>
      <c r="AJ58" s="277"/>
    </row>
    <row r="59" spans="1:36" ht="15.6" x14ac:dyDescent="0.35">
      <c r="A59" s="61">
        <v>1</v>
      </c>
      <c r="B59" s="90"/>
      <c r="C59" s="90"/>
      <c r="D59" s="167"/>
      <c r="E59" s="283" t="str">
        <f>IF(OR($A$46="",$A$49="",$A$51="",D59="",$D$56="",$E$56=""),"",IF($A$46="Ionkammer",D59*$A$51*VLOOKUP($D$56,Data!$B$31:$C$36,2,FALSE),(IF($A$46="SSD detektor",D59*$A$51*VLOOKUP($D$56,Data!$B$31:$C$36,2,FALSE),IF($A$51&gt;0,D59/$A$51*VLOOKUP($D$56,Data!$E$31:$F$36,2,FALSE),"")))))</f>
        <v/>
      </c>
      <c r="F59" s="90"/>
      <c r="G59" s="90"/>
      <c r="H59" s="104" t="str">
        <f>IF(OR($A$46="",$F$47="",F59="",G59=""),"",(G59-F59)*VLOOKUP($F$47,Data!$I$31:$J$36,2,FALSE))</f>
        <v/>
      </c>
      <c r="I59" s="181" t="str">
        <f>IF(OR($A$46="",$F$47="",$F$51="",$A$51="",D59="",G59="",H59=""),"",IF($A$46="Ionkammer",ABS(E59/H59-1)*100,(IF($A$46="SSD detektor",ABS(E59/H59-1)*100,ABS(D59*VLOOKUP($F$52,Data!$I$31:$J$36,2,FALSE)/H59-1)*100))))</f>
        <v/>
      </c>
      <c r="J59" s="61" t="str">
        <f>IF(I59="","",IF(I59&gt;25,"IKKE OK","OK"))</f>
        <v/>
      </c>
      <c r="K59" s="90"/>
      <c r="L59" s="284" t="s">
        <v>782</v>
      </c>
      <c r="M59" s="342"/>
      <c r="N59" s="342"/>
      <c r="O59" s="342"/>
      <c r="P59" s="382"/>
      <c r="Q59" s="369"/>
      <c r="S59" s="61">
        <v>1</v>
      </c>
      <c r="T59" s="90"/>
      <c r="U59" s="90"/>
      <c r="V59" s="167"/>
      <c r="W59" s="283" t="str">
        <f>IF(OR($A$46="",$A$49="",$A$51="",V59="",$D$56="",$E$56=""),"",IF($A$46="Ionkammer",V59*$A$51*VLOOKUP($D$56,Data!$B$31:$C$36,2,FALSE),(IF($A$46="SSD detektor",V59*$A$51*VLOOKUP($D$56,Data!$B$31:$C$36,2,FALSE),IF($A$51&gt;0,V59/$A$51*VLOOKUP($D$56,Data!$E$31:$F$36,2,FALSE),"")))))</f>
        <v/>
      </c>
      <c r="X59" s="90"/>
      <c r="Y59" s="90"/>
      <c r="Z59" s="104" t="str">
        <f>IF(OR($A$46="",$F$47="",X59="",Y59=""),"",(Y59-X59)*VLOOKUP($F$47,Data!$I$31:$J$36,2,FALSE))</f>
        <v/>
      </c>
      <c r="AA59" s="181" t="str">
        <f>IF(OR($A$46="",$F$47="",$F$51="",$A$51="",V59="",Y59="",Z59=""),"",IF($A$46="Ionkammer",ABS(W59/Z59-1)*100,(IF($A$46="SSD detektor",ABS(W59/Z59-1)*100,ABS(V59*VLOOKUP($F$52,Data!$I$31:$J$36,2,FALSE)/Z59-1)*100))))</f>
        <v/>
      </c>
      <c r="AB59" s="61" t="str">
        <f>IF(AA59="","",IF(AA59&gt;25,"IKKE OK","OK"))</f>
        <v/>
      </c>
      <c r="AE59" s="239"/>
      <c r="AF59" s="239"/>
      <c r="AG59" s="239"/>
      <c r="AH59" s="285"/>
      <c r="AI59" s="286"/>
      <c r="AJ59" s="239"/>
    </row>
    <row r="60" spans="1:36" x14ac:dyDescent="0.3">
      <c r="A60" s="61">
        <v>2</v>
      </c>
      <c r="B60" s="90"/>
      <c r="C60" s="90"/>
      <c r="D60" s="167"/>
      <c r="E60" s="283" t="str">
        <f>IF(OR($A$46="",$A$49="",$A$51="",D60="",$D$56="",$E$56=""),"",IF($A$46="Ionkammer",D60*$A$51*VLOOKUP($D$56,Data!$B$31:$C$36,2,FALSE),(IF($A$46="SSD detektor",D60*$A$51*VLOOKUP($D$56,Data!$B$31:$C$36,2,FALSE),IF($A$51&gt;0,D60/$A$51*VLOOKUP($D$56,Data!$E$31:$F$36,2,FALSE),"")))))</f>
        <v/>
      </c>
      <c r="F60" s="90"/>
      <c r="G60" s="90"/>
      <c r="H60" s="104" t="str">
        <f>IF(OR($A$46="",$F$47="",F60="",G60=""),"",(G60-F60)*VLOOKUP($F$47,Data!$I$31:$J$36,2,FALSE))</f>
        <v/>
      </c>
      <c r="I60" s="181" t="str">
        <f>IF(OR($A$46="",$F$47="",$F$51="",$A$51="",D60="",G60="",H60=""),"",IF($A$46="Ionkammer",ABS(E60/H60-1)*100,(IF($A$46="SSD detektor",ABS(E60/H60-1)*100,ABS(D60*VLOOKUP($F$52,Data!$I$31:$J$36,2,FALSE)/H60-1)*100))))</f>
        <v/>
      </c>
      <c r="J60" s="61" t="str">
        <f t="shared" ref="J60:J61" si="0">IF(I60="","",IF(I60&gt;25,"IKKE OK","OK"))</f>
        <v/>
      </c>
      <c r="K60" s="90"/>
      <c r="L60" s="287" t="s">
        <v>420</v>
      </c>
      <c r="M60" s="342"/>
      <c r="N60" s="342"/>
      <c r="O60" s="342"/>
      <c r="P60" s="382"/>
      <c r="Q60" s="369"/>
      <c r="S60" s="61">
        <v>2</v>
      </c>
      <c r="T60" s="90"/>
      <c r="U60" s="90"/>
      <c r="V60" s="167"/>
      <c r="W60" s="283" t="str">
        <f>IF(OR($A$46="",$A$49="",$A$51="",V60="",$D$56="",$E$56=""),"",IF($A$46="Ionkammer",V60*$A$51*VLOOKUP($D$56,Data!$B$31:$C$36,2,FALSE),(IF($A$46="SSD detektor",V60*$A$51*VLOOKUP($D$56,Data!$B$31:$C$36,2,FALSE),IF($A$51&gt;0,V60/$A$51*VLOOKUP($D$56,Data!$E$31:$F$36,2,FALSE),"")))))</f>
        <v/>
      </c>
      <c r="X60" s="90"/>
      <c r="Y60" s="90"/>
      <c r="Z60" s="104" t="str">
        <f>IF(OR($A$46="",$F$47="",X60="",Y60=""),"",(Y60-X60)*VLOOKUP($F$47,Data!$I$31:$J$36,2,FALSE))</f>
        <v/>
      </c>
      <c r="AA60" s="181" t="str">
        <f>IF(OR($A$46="",$F$47="",$F$51="",$A$51="",V60="",Y60="",Z60=""),"",IF($A$46="Ionkammer",ABS(W60/Z60-1)*100,(IF($A$46="SSD detektor",ABS(W60/Z60-1)*100,ABS(V60*VLOOKUP($F$52,Data!$I$31:$J$36,2,FALSE)/Z60-1)*100))))</f>
        <v/>
      </c>
      <c r="AB60" s="61" t="str">
        <f t="shared" ref="AB60:AB61" si="1">IF(AA60="","",IF(AA60&gt;25,"IKKE OK","OK"))</f>
        <v/>
      </c>
      <c r="AE60" s="239"/>
      <c r="AF60" s="239"/>
      <c r="AG60" s="239"/>
      <c r="AH60" s="285"/>
      <c r="AI60" s="286"/>
      <c r="AJ60" s="239"/>
    </row>
    <row r="61" spans="1:36" x14ac:dyDescent="0.3">
      <c r="A61" s="61">
        <v>3</v>
      </c>
      <c r="B61" s="90"/>
      <c r="C61" s="90"/>
      <c r="D61" s="167"/>
      <c r="E61" s="283" t="str">
        <f>IF(OR($A$46="",$A$49="",$A$51="",D61="",$D$56="",$E$56=""),"",IF($A$46="Ionkammer",D61*$A$51*VLOOKUP($D$56,Data!$B$31:$C$36,2,FALSE),(IF($A$46="SSD detektor",D61*$A$51*VLOOKUP($D$56,Data!$B$31:$C$36,2,FALSE),IF($A$51&gt;0,D61/$A$51*VLOOKUP($D$56,Data!$E$31:$F$36,2,FALSE),"")))))</f>
        <v/>
      </c>
      <c r="F61" s="90"/>
      <c r="G61" s="90"/>
      <c r="H61" s="104" t="str">
        <f>IF(OR($A$46="",$F$47="",F61="",G61=""),"",(G61-F61)*VLOOKUP($F$47,Data!$I$31:$J$36,2,FALSE))</f>
        <v/>
      </c>
      <c r="I61" s="181" t="str">
        <f>IF(OR($A$46="",$F$47="",$F$51="",$A$51="",D61="",G61="",H61=""),"",IF($A$46="Ionkammer",ABS(E61/H61-1)*100,(IF($A$46="SSD detektor",ABS(E61/H61-1)*100,ABS(D61*VLOOKUP($F$52,Data!$I$31:$J$36,2,FALSE)/H61-1)*100))))</f>
        <v/>
      </c>
      <c r="J61" s="61" t="str">
        <f t="shared" si="0"/>
        <v/>
      </c>
      <c r="K61" s="90"/>
      <c r="L61" s="287" t="s">
        <v>515</v>
      </c>
      <c r="M61" s="342"/>
      <c r="N61" s="342"/>
      <c r="O61" s="342"/>
      <c r="P61" s="382"/>
      <c r="Q61" s="369"/>
      <c r="S61" s="61">
        <v>3</v>
      </c>
      <c r="T61" s="90"/>
      <c r="U61" s="90"/>
      <c r="V61" s="167"/>
      <c r="W61" s="283" t="str">
        <f>IF(OR($A$46="",$A$49="",$A$51="",V61="",$D$56="",$E$56=""),"",IF($A$46="Ionkammer",V61*$A$51*VLOOKUP($D$56,Data!$B$31:$C$36,2,FALSE),(IF($A$46="SSD detektor",V61*$A$51*VLOOKUP($D$56,Data!$B$31:$C$36,2,FALSE),IF($A$51&gt;0,V61/$A$51*VLOOKUP($D$56,Data!$E$31:$F$36,2,FALSE),"")))))</f>
        <v/>
      </c>
      <c r="X61" s="90"/>
      <c r="Y61" s="90"/>
      <c r="Z61" s="104" t="str">
        <f>IF(OR($A$46="",$F$47="",X61="",Y61=""),"",(Y61-X61)*VLOOKUP($F$47,Data!$I$31:$J$36,2,FALSE))</f>
        <v/>
      </c>
      <c r="AA61" s="181" t="str">
        <f>IF(OR($A$46="",$F$47="",$F$51="",$A$51="",V61="",Y61="",Z61=""),"",IF($A$46="Ionkammer",ABS(W61/Z61-1)*100,(IF($A$46="SSD detektor",ABS(W61/Z61-1)*100,ABS(V61*VLOOKUP($F$52,Data!$I$31:$J$36,2,FALSE)/Z61-1)*100))))</f>
        <v/>
      </c>
      <c r="AB61" s="61" t="str">
        <f t="shared" si="1"/>
        <v/>
      </c>
      <c r="AE61" s="239"/>
      <c r="AF61" s="239"/>
      <c r="AG61" s="239"/>
      <c r="AH61" s="285"/>
      <c r="AI61" s="286"/>
      <c r="AJ61" s="239"/>
    </row>
    <row r="62" spans="1:36" x14ac:dyDescent="0.3">
      <c r="E62" s="288"/>
      <c r="F62" s="288"/>
      <c r="G62" s="288"/>
      <c r="H62" s="288"/>
      <c r="I62" s="288"/>
      <c r="L62" s="47"/>
      <c r="M62" s="47"/>
      <c r="N62" s="47"/>
      <c r="O62" s="47"/>
      <c r="P62" s="47"/>
      <c r="Q62" s="47"/>
      <c r="AE62" s="54"/>
      <c r="AF62" s="54"/>
      <c r="AG62" s="54"/>
      <c r="AH62" s="54"/>
      <c r="AI62" s="54"/>
      <c r="AJ62" s="54"/>
    </row>
    <row r="64" spans="1:36" ht="18" x14ac:dyDescent="0.35">
      <c r="A64" s="72" t="s">
        <v>516</v>
      </c>
      <c r="B64" s="71"/>
      <c r="C64" s="71"/>
      <c r="D64" s="71"/>
      <c r="E64" s="71"/>
      <c r="F64" s="135" t="s">
        <v>471</v>
      </c>
      <c r="G64" s="135"/>
      <c r="H64" s="71"/>
      <c r="I64" s="135"/>
      <c r="J64" s="71"/>
      <c r="K64" s="71"/>
      <c r="L64" s="71"/>
      <c r="M64" s="71"/>
      <c r="N64" s="71"/>
      <c r="O64" s="71"/>
      <c r="P64" s="71"/>
      <c r="Q64" s="71"/>
      <c r="R64" s="54"/>
      <c r="S64" s="54"/>
      <c r="T64" s="54"/>
    </row>
    <row r="65" spans="1:20" x14ac:dyDescent="0.3">
      <c r="R65" s="54"/>
      <c r="S65" s="54"/>
      <c r="T65" s="54"/>
    </row>
    <row r="66" spans="1:20" x14ac:dyDescent="0.3">
      <c r="A66" s="49" t="s">
        <v>157</v>
      </c>
      <c r="B66" s="50"/>
      <c r="C66" s="50"/>
      <c r="D66" s="50"/>
      <c r="E66" s="50"/>
      <c r="F66" s="50"/>
      <c r="G66" s="50"/>
      <c r="H66" s="50"/>
      <c r="I66" s="50"/>
      <c r="J66" s="50"/>
      <c r="K66" s="50"/>
      <c r="L66" s="50"/>
      <c r="M66" s="50"/>
      <c r="N66" s="73" t="s">
        <v>96</v>
      </c>
      <c r="O66" s="50"/>
      <c r="P66" s="73"/>
      <c r="Q66" s="50"/>
      <c r="R66" s="54"/>
      <c r="S66" s="54"/>
      <c r="T66" s="54"/>
    </row>
    <row r="67" spans="1:20" x14ac:dyDescent="0.3">
      <c r="A67" s="51" t="s">
        <v>44</v>
      </c>
      <c r="B67" s="52" t="s">
        <v>72</v>
      </c>
      <c r="C67" s="52"/>
      <c r="D67" s="52"/>
      <c r="E67" s="52"/>
      <c r="F67" s="52"/>
      <c r="G67" s="52"/>
      <c r="H67" s="52"/>
      <c r="I67" s="52"/>
      <c r="J67" s="52"/>
      <c r="K67" s="52"/>
      <c r="L67" s="52"/>
      <c r="M67" s="52"/>
      <c r="N67" s="432"/>
      <c r="O67" s="433"/>
      <c r="P67" s="433"/>
      <c r="Q67" s="434"/>
      <c r="R67" s="54"/>
      <c r="S67" s="54"/>
      <c r="T67" s="54"/>
    </row>
    <row r="68" spans="1:20" x14ac:dyDescent="0.3">
      <c r="A68" s="44" t="s">
        <v>45</v>
      </c>
      <c r="B68" s="54" t="s">
        <v>678</v>
      </c>
      <c r="C68" s="54"/>
      <c r="D68" s="54"/>
      <c r="E68" s="54"/>
      <c r="F68" s="54"/>
      <c r="G68" s="54"/>
      <c r="H68" s="54"/>
      <c r="I68" s="54"/>
      <c r="J68" s="54"/>
      <c r="K68" s="54"/>
      <c r="L68" s="54"/>
      <c r="M68" s="54"/>
      <c r="N68" s="435"/>
      <c r="O68" s="436"/>
      <c r="P68" s="436"/>
      <c r="Q68" s="437"/>
      <c r="R68" s="54"/>
      <c r="S68" s="54"/>
      <c r="T68" s="54"/>
    </row>
    <row r="69" spans="1:20" x14ac:dyDescent="0.3">
      <c r="A69" s="44" t="s">
        <v>46</v>
      </c>
      <c r="B69" s="54" t="s">
        <v>517</v>
      </c>
      <c r="C69" s="54"/>
      <c r="D69" s="54"/>
      <c r="E69" s="54"/>
      <c r="F69" s="54"/>
      <c r="G69" s="54"/>
      <c r="H69" s="54"/>
      <c r="I69" s="54"/>
      <c r="J69" s="54"/>
      <c r="K69" s="54"/>
      <c r="L69" s="54"/>
      <c r="M69" s="54"/>
      <c r="N69" s="435"/>
      <c r="O69" s="436"/>
      <c r="P69" s="436"/>
      <c r="Q69" s="437"/>
      <c r="R69" s="54"/>
      <c r="S69" s="54"/>
      <c r="T69" s="54"/>
    </row>
    <row r="70" spans="1:20" x14ac:dyDescent="0.3">
      <c r="A70" s="53"/>
      <c r="B70" s="54" t="s">
        <v>681</v>
      </c>
      <c r="C70" s="54"/>
      <c r="D70" s="54"/>
      <c r="E70" s="54"/>
      <c r="F70" s="54"/>
      <c r="G70" s="54"/>
      <c r="H70" s="54"/>
      <c r="I70" s="54"/>
      <c r="J70" s="54"/>
      <c r="K70" s="54"/>
      <c r="L70" s="54"/>
      <c r="M70" s="54"/>
      <c r="N70" s="435"/>
      <c r="O70" s="436"/>
      <c r="P70" s="436"/>
      <c r="Q70" s="437"/>
      <c r="R70" s="54"/>
      <c r="S70" s="54"/>
      <c r="T70" s="54"/>
    </row>
    <row r="71" spans="1:20" x14ac:dyDescent="0.3">
      <c r="A71" s="53"/>
      <c r="B71" s="54" t="s">
        <v>682</v>
      </c>
      <c r="C71" s="54"/>
      <c r="D71" s="54"/>
      <c r="E71" s="54"/>
      <c r="F71" s="54"/>
      <c r="G71" s="54"/>
      <c r="H71" s="54"/>
      <c r="I71" s="54"/>
      <c r="J71" s="54"/>
      <c r="K71" s="54"/>
      <c r="L71" s="54"/>
      <c r="M71" s="54"/>
      <c r="N71" s="435"/>
      <c r="O71" s="436"/>
      <c r="P71" s="436"/>
      <c r="Q71" s="437"/>
      <c r="R71" s="54"/>
      <c r="S71" s="54"/>
      <c r="T71" s="54"/>
    </row>
    <row r="72" spans="1:20" x14ac:dyDescent="0.3">
      <c r="A72" s="53"/>
      <c r="B72" s="89" t="s">
        <v>518</v>
      </c>
      <c r="C72" s="54"/>
      <c r="D72" s="54"/>
      <c r="E72" s="54"/>
      <c r="F72" s="54"/>
      <c r="G72" s="54"/>
      <c r="H72" s="54"/>
      <c r="I72" s="54"/>
      <c r="J72" s="54"/>
      <c r="K72" s="54"/>
      <c r="L72" s="54"/>
      <c r="M72" s="54"/>
      <c r="N72" s="435"/>
      <c r="O72" s="436"/>
      <c r="P72" s="436"/>
      <c r="Q72" s="437"/>
      <c r="R72" s="54"/>
      <c r="S72" s="54"/>
      <c r="T72" s="54"/>
    </row>
    <row r="73" spans="1:20" x14ac:dyDescent="0.3">
      <c r="A73" s="53"/>
      <c r="B73" s="54" t="s">
        <v>679</v>
      </c>
      <c r="C73" s="54"/>
      <c r="D73" s="54"/>
      <c r="E73" s="54"/>
      <c r="F73" s="54"/>
      <c r="G73" s="54"/>
      <c r="H73" s="54"/>
      <c r="I73" s="54"/>
      <c r="J73" s="54"/>
      <c r="K73" s="54"/>
      <c r="L73" s="54"/>
      <c r="M73" s="54"/>
      <c r="N73" s="435"/>
      <c r="O73" s="436"/>
      <c r="P73" s="436"/>
      <c r="Q73" s="437"/>
      <c r="R73" s="54"/>
      <c r="S73" s="54"/>
      <c r="T73" s="54"/>
    </row>
    <row r="74" spans="1:20" x14ac:dyDescent="0.3">
      <c r="A74" s="53"/>
      <c r="B74" s="54" t="s">
        <v>680</v>
      </c>
      <c r="C74" s="54"/>
      <c r="D74" s="54"/>
      <c r="E74" s="54"/>
      <c r="F74" s="54"/>
      <c r="G74" s="54"/>
      <c r="H74" s="54"/>
      <c r="I74" s="54"/>
      <c r="J74" s="54"/>
      <c r="K74" s="54"/>
      <c r="L74" s="54"/>
      <c r="M74" s="54"/>
      <c r="N74" s="435"/>
      <c r="O74" s="436"/>
      <c r="P74" s="436"/>
      <c r="Q74" s="437"/>
      <c r="R74" s="54"/>
      <c r="S74" s="54"/>
      <c r="T74" s="54"/>
    </row>
    <row r="75" spans="1:20" x14ac:dyDescent="0.3">
      <c r="A75" s="53"/>
      <c r="B75" s="54" t="s">
        <v>152</v>
      </c>
      <c r="C75" s="54"/>
      <c r="D75" s="54"/>
      <c r="E75" s="54"/>
      <c r="F75" s="54"/>
      <c r="G75" s="54"/>
      <c r="H75" s="54"/>
      <c r="I75" s="54"/>
      <c r="J75" s="54"/>
      <c r="K75" s="54"/>
      <c r="L75" s="54"/>
      <c r="M75" s="54"/>
      <c r="N75" s="435"/>
      <c r="O75" s="436"/>
      <c r="P75" s="436"/>
      <c r="Q75" s="437"/>
      <c r="R75" s="54"/>
      <c r="S75" s="54"/>
      <c r="T75" s="54"/>
    </row>
    <row r="76" spans="1:20" x14ac:dyDescent="0.3">
      <c r="A76" s="53"/>
      <c r="B76" s="208" t="s">
        <v>519</v>
      </c>
      <c r="C76" s="54"/>
      <c r="D76" s="54"/>
      <c r="E76" s="54"/>
      <c r="F76" s="54"/>
      <c r="G76" s="54"/>
      <c r="H76" s="54"/>
      <c r="I76" s="54"/>
      <c r="J76" s="54"/>
      <c r="K76" s="54"/>
      <c r="L76" s="54"/>
      <c r="M76" s="54"/>
      <c r="N76" s="435"/>
      <c r="O76" s="436"/>
      <c r="P76" s="436"/>
      <c r="Q76" s="437"/>
      <c r="R76" s="54"/>
      <c r="S76" s="54"/>
      <c r="T76" s="54"/>
    </row>
    <row r="77" spans="1:20" x14ac:dyDescent="0.3">
      <c r="A77" s="53"/>
      <c r="B77" s="54" t="s">
        <v>683</v>
      </c>
      <c r="C77" s="54"/>
      <c r="D77" s="54"/>
      <c r="E77" s="54"/>
      <c r="F77" s="54"/>
      <c r="G77" s="54"/>
      <c r="H77" s="54"/>
      <c r="I77" s="54"/>
      <c r="J77" s="54"/>
      <c r="K77" s="54"/>
      <c r="L77" s="54"/>
      <c r="M77" s="54"/>
      <c r="N77" s="435"/>
      <c r="O77" s="436"/>
      <c r="P77" s="436"/>
      <c r="Q77" s="437"/>
      <c r="R77" s="54"/>
      <c r="S77" s="54"/>
      <c r="T77" s="54"/>
    </row>
    <row r="78" spans="1:20" x14ac:dyDescent="0.3">
      <c r="A78" s="53"/>
      <c r="B78" s="54" t="s">
        <v>684</v>
      </c>
      <c r="C78" s="54"/>
      <c r="D78" s="54"/>
      <c r="E78" s="54"/>
      <c r="F78" s="54"/>
      <c r="G78" s="54"/>
      <c r="H78" s="54"/>
      <c r="I78" s="54"/>
      <c r="J78" s="54"/>
      <c r="K78" s="54"/>
      <c r="L78" s="54"/>
      <c r="M78" s="54"/>
      <c r="N78" s="435"/>
      <c r="O78" s="436"/>
      <c r="P78" s="436"/>
      <c r="Q78" s="437"/>
      <c r="R78" s="54"/>
      <c r="S78" s="54"/>
      <c r="T78" s="54"/>
    </row>
    <row r="79" spans="1:20" x14ac:dyDescent="0.3">
      <c r="A79" s="53"/>
      <c r="B79" s="26" t="s">
        <v>520</v>
      </c>
      <c r="C79" s="54"/>
      <c r="D79" s="54"/>
      <c r="E79" s="54"/>
      <c r="F79" s="54"/>
      <c r="G79" s="54"/>
      <c r="H79" s="54"/>
      <c r="I79" s="54"/>
      <c r="J79" s="54"/>
      <c r="K79" s="54"/>
      <c r="L79" s="54"/>
      <c r="M79" s="54"/>
      <c r="N79" s="435"/>
      <c r="O79" s="436"/>
      <c r="P79" s="436"/>
      <c r="Q79" s="437"/>
      <c r="R79" s="54"/>
      <c r="S79" s="54"/>
      <c r="T79" s="54"/>
    </row>
    <row r="80" spans="1:20" x14ac:dyDescent="0.3">
      <c r="A80" s="53"/>
      <c r="B80" s="54" t="s">
        <v>685</v>
      </c>
      <c r="C80" s="54"/>
      <c r="D80" s="54"/>
      <c r="E80" s="54"/>
      <c r="F80" s="54"/>
      <c r="G80" s="54"/>
      <c r="H80" s="54"/>
      <c r="I80" s="54"/>
      <c r="J80" s="54"/>
      <c r="K80" s="54"/>
      <c r="L80" s="54"/>
      <c r="M80" s="54"/>
      <c r="N80" s="435"/>
      <c r="O80" s="436"/>
      <c r="P80" s="436"/>
      <c r="Q80" s="437"/>
      <c r="R80" s="54"/>
      <c r="S80" s="54"/>
      <c r="T80" s="54"/>
    </row>
    <row r="81" spans="1:20" x14ac:dyDescent="0.3">
      <c r="A81" s="53"/>
      <c r="B81" s="54" t="s">
        <v>686</v>
      </c>
      <c r="C81" s="54"/>
      <c r="D81" s="54"/>
      <c r="E81" s="54"/>
      <c r="F81" s="54"/>
      <c r="G81" s="54"/>
      <c r="H81" s="54"/>
      <c r="I81" s="54"/>
      <c r="J81" s="54"/>
      <c r="K81" s="54"/>
      <c r="L81" s="54"/>
      <c r="M81" s="54"/>
      <c r="N81" s="435"/>
      <c r="O81" s="436"/>
      <c r="P81" s="436"/>
      <c r="Q81" s="437"/>
      <c r="R81" s="54"/>
      <c r="S81" s="54"/>
      <c r="T81" s="54"/>
    </row>
    <row r="82" spans="1:20" x14ac:dyDescent="0.3">
      <c r="A82" s="53"/>
      <c r="B82" s="26" t="s">
        <v>521</v>
      </c>
      <c r="C82" s="54"/>
      <c r="D82" s="54"/>
      <c r="E82" s="54"/>
      <c r="F82" s="54"/>
      <c r="G82" s="54"/>
      <c r="H82" s="54"/>
      <c r="I82" s="54"/>
      <c r="J82" s="54"/>
      <c r="K82" s="54"/>
      <c r="L82" s="54"/>
      <c r="M82" s="54"/>
      <c r="N82" s="435"/>
      <c r="O82" s="436"/>
      <c r="P82" s="436"/>
      <c r="Q82" s="437"/>
      <c r="R82" s="54"/>
      <c r="S82" s="54"/>
      <c r="T82" s="54"/>
    </row>
    <row r="83" spans="1:20" x14ac:dyDescent="0.3">
      <c r="A83" s="53"/>
      <c r="B83" s="54" t="s">
        <v>522</v>
      </c>
      <c r="C83" s="54"/>
      <c r="D83" s="54"/>
      <c r="E83" s="54"/>
      <c r="F83" s="54"/>
      <c r="G83" s="54"/>
      <c r="H83" s="54"/>
      <c r="I83" s="54"/>
      <c r="J83" s="54"/>
      <c r="K83" s="54"/>
      <c r="L83" s="54"/>
      <c r="M83" s="54"/>
      <c r="N83" s="435"/>
      <c r="O83" s="436"/>
      <c r="P83" s="436"/>
      <c r="Q83" s="437"/>
      <c r="R83" s="54"/>
      <c r="S83" s="54"/>
      <c r="T83" s="54"/>
    </row>
    <row r="84" spans="1:20" ht="15.6" x14ac:dyDescent="0.35">
      <c r="A84" s="53" t="s">
        <v>47</v>
      </c>
      <c r="B84" s="54" t="s">
        <v>690</v>
      </c>
      <c r="C84" s="54"/>
      <c r="D84" s="54"/>
      <c r="E84" s="54"/>
      <c r="F84" s="54"/>
      <c r="G84" s="54"/>
      <c r="H84" s="54"/>
      <c r="I84" s="54"/>
      <c r="J84" s="54"/>
      <c r="K84" s="54"/>
      <c r="L84" s="54"/>
      <c r="M84" s="54"/>
      <c r="N84" s="435"/>
      <c r="O84" s="436"/>
      <c r="P84" s="436"/>
      <c r="Q84" s="437"/>
      <c r="R84" s="54"/>
      <c r="S84" s="54"/>
      <c r="T84" s="54"/>
    </row>
    <row r="85" spans="1:20" x14ac:dyDescent="0.3">
      <c r="A85" s="53"/>
      <c r="B85" s="54" t="s">
        <v>687</v>
      </c>
      <c r="C85" s="54"/>
      <c r="D85" s="54"/>
      <c r="E85" s="54"/>
      <c r="F85" s="54"/>
      <c r="G85" s="54"/>
      <c r="H85" s="54"/>
      <c r="I85" s="54"/>
      <c r="J85" s="54"/>
      <c r="K85" s="54"/>
      <c r="L85" s="54"/>
      <c r="M85" s="54"/>
      <c r="N85" s="435"/>
      <c r="O85" s="436"/>
      <c r="P85" s="436"/>
      <c r="Q85" s="437"/>
      <c r="R85" s="54"/>
      <c r="S85" s="54"/>
      <c r="T85" s="54"/>
    </row>
    <row r="86" spans="1:20" x14ac:dyDescent="0.3">
      <c r="A86" s="53"/>
      <c r="B86" s="54" t="s">
        <v>688</v>
      </c>
      <c r="C86" s="54"/>
      <c r="D86" s="54"/>
      <c r="E86" s="54"/>
      <c r="F86" s="54"/>
      <c r="G86" s="54"/>
      <c r="H86" s="54"/>
      <c r="I86" s="54"/>
      <c r="J86" s="54"/>
      <c r="K86" s="54"/>
      <c r="L86" s="54"/>
      <c r="M86" s="54"/>
      <c r="N86" s="435"/>
      <c r="O86" s="436"/>
      <c r="P86" s="436"/>
      <c r="Q86" s="437"/>
      <c r="R86" s="54"/>
      <c r="S86" s="54"/>
      <c r="T86" s="54"/>
    </row>
    <row r="87" spans="1:20" x14ac:dyDescent="0.3">
      <c r="A87" s="53"/>
      <c r="B87" s="54" t="s">
        <v>689</v>
      </c>
      <c r="C87" s="54"/>
      <c r="D87" s="54"/>
      <c r="E87" s="54"/>
      <c r="F87" s="54"/>
      <c r="G87" s="54"/>
      <c r="H87" s="54"/>
      <c r="I87" s="54"/>
      <c r="J87" s="54"/>
      <c r="K87" s="54"/>
      <c r="L87" s="54"/>
      <c r="M87" s="54"/>
      <c r="N87" s="435"/>
      <c r="O87" s="436"/>
      <c r="P87" s="436"/>
      <c r="Q87" s="437"/>
      <c r="R87" s="54"/>
      <c r="S87" s="54"/>
      <c r="T87" s="54"/>
    </row>
    <row r="88" spans="1:20" ht="15" customHeight="1" x14ac:dyDescent="0.3">
      <c r="A88" s="44"/>
      <c r="B88" s="233"/>
      <c r="C88" s="92"/>
      <c r="D88" s="92"/>
      <c r="E88" s="92"/>
      <c r="F88" s="92"/>
      <c r="G88" s="92"/>
      <c r="H88" s="92"/>
      <c r="I88" s="92"/>
      <c r="J88" s="92"/>
      <c r="K88" s="92"/>
      <c r="L88" s="92"/>
      <c r="M88" s="92"/>
      <c r="N88" s="475"/>
      <c r="O88" s="476"/>
      <c r="P88" s="476"/>
      <c r="Q88" s="477"/>
      <c r="R88" s="92"/>
      <c r="S88" s="92"/>
      <c r="T88" s="92"/>
    </row>
    <row r="89" spans="1:20" ht="15" customHeight="1" x14ac:dyDescent="0.3">
      <c r="A89" s="44"/>
      <c r="B89" s="233"/>
      <c r="C89" s="92"/>
      <c r="D89" s="92"/>
      <c r="E89" s="92"/>
      <c r="F89" s="92"/>
      <c r="G89" s="92"/>
      <c r="H89" s="92"/>
      <c r="I89" s="92"/>
      <c r="J89" s="92"/>
      <c r="K89" s="92"/>
      <c r="L89" s="92"/>
      <c r="M89" s="92"/>
      <c r="N89" s="475"/>
      <c r="O89" s="476"/>
      <c r="P89" s="476"/>
      <c r="Q89" s="477"/>
      <c r="R89" s="92"/>
      <c r="S89" s="92"/>
      <c r="T89" s="92"/>
    </row>
    <row r="90" spans="1:20" ht="15" customHeight="1" x14ac:dyDescent="0.3">
      <c r="A90" s="44"/>
      <c r="B90" s="233"/>
      <c r="C90" s="92"/>
      <c r="D90" s="92"/>
      <c r="E90" s="92"/>
      <c r="F90" s="92"/>
      <c r="G90" s="92"/>
      <c r="H90" s="92"/>
      <c r="I90" s="92"/>
      <c r="J90" s="92"/>
      <c r="K90" s="92"/>
      <c r="L90" s="92"/>
      <c r="M90" s="92"/>
      <c r="N90" s="472"/>
      <c r="O90" s="473"/>
      <c r="P90" s="473"/>
      <c r="Q90" s="474"/>
      <c r="R90" s="92"/>
      <c r="S90" s="92"/>
      <c r="T90" s="92"/>
    </row>
    <row r="91" spans="1:20" ht="15" customHeight="1" x14ac:dyDescent="0.3">
      <c r="A91" s="44"/>
      <c r="B91" s="233"/>
      <c r="C91" s="92"/>
      <c r="D91" s="92"/>
      <c r="E91" s="92"/>
      <c r="F91" s="92"/>
      <c r="G91" s="92"/>
      <c r="H91" s="92"/>
      <c r="I91" s="92"/>
      <c r="J91" s="92"/>
      <c r="K91" s="92"/>
      <c r="L91" s="92"/>
      <c r="M91" s="92"/>
      <c r="N91" s="472"/>
      <c r="O91" s="473"/>
      <c r="P91" s="473"/>
      <c r="Q91" s="474"/>
      <c r="R91" s="92"/>
      <c r="S91" s="92"/>
      <c r="T91" s="92"/>
    </row>
    <row r="92" spans="1:20" ht="15" customHeight="1" x14ac:dyDescent="0.3">
      <c r="A92" s="44"/>
      <c r="B92" s="233"/>
      <c r="C92" s="92"/>
      <c r="D92" s="92"/>
      <c r="E92" s="92"/>
      <c r="F92" s="92"/>
      <c r="G92" s="92"/>
      <c r="H92" s="92"/>
      <c r="I92" s="92"/>
      <c r="J92" s="92"/>
      <c r="K92" s="92"/>
      <c r="L92" s="92"/>
      <c r="M92" s="92"/>
      <c r="N92" s="472"/>
      <c r="O92" s="473"/>
      <c r="P92" s="473"/>
      <c r="Q92" s="474"/>
      <c r="R92" s="92"/>
      <c r="S92" s="92"/>
      <c r="T92" s="92"/>
    </row>
    <row r="93" spans="1:20" ht="15" customHeight="1" x14ac:dyDescent="0.3">
      <c r="A93" s="44"/>
      <c r="B93" s="233"/>
      <c r="C93" s="92"/>
      <c r="D93" s="92"/>
      <c r="E93" s="92"/>
      <c r="F93" s="92"/>
      <c r="G93" s="92"/>
      <c r="H93" s="92"/>
      <c r="I93" s="92"/>
      <c r="J93" s="92"/>
      <c r="K93" s="92"/>
      <c r="L93" s="92"/>
      <c r="M93" s="92"/>
      <c r="N93" s="472"/>
      <c r="O93" s="473"/>
      <c r="P93" s="473"/>
      <c r="Q93" s="474"/>
      <c r="R93" s="92"/>
      <c r="S93" s="92"/>
      <c r="T93" s="92"/>
    </row>
    <row r="94" spans="1:20" ht="15" customHeight="1" x14ac:dyDescent="0.3">
      <c r="A94" s="44"/>
      <c r="B94" s="233"/>
      <c r="C94" s="92"/>
      <c r="D94" s="92"/>
      <c r="E94" s="92"/>
      <c r="F94" s="92"/>
      <c r="G94" s="92"/>
      <c r="H94" s="92"/>
      <c r="I94" s="92"/>
      <c r="J94" s="92"/>
      <c r="K94" s="92"/>
      <c r="L94" s="92"/>
      <c r="M94" s="92"/>
      <c r="N94" s="472"/>
      <c r="O94" s="473"/>
      <c r="P94" s="473"/>
      <c r="Q94" s="474"/>
      <c r="R94" s="92"/>
      <c r="S94" s="92"/>
      <c r="T94" s="92"/>
    </row>
    <row r="95" spans="1:20" ht="15" customHeight="1" x14ac:dyDescent="0.3">
      <c r="A95" s="44"/>
      <c r="B95" s="233"/>
      <c r="C95" s="92"/>
      <c r="D95" s="92"/>
      <c r="E95" s="92"/>
      <c r="F95" s="92"/>
      <c r="G95" s="92"/>
      <c r="H95" s="92"/>
      <c r="I95" s="92"/>
      <c r="J95" s="92"/>
      <c r="K95" s="92"/>
      <c r="L95" s="92"/>
      <c r="M95" s="92"/>
      <c r="N95" s="472"/>
      <c r="O95" s="473"/>
      <c r="P95" s="473"/>
      <c r="Q95" s="474"/>
      <c r="R95" s="92"/>
      <c r="S95" s="92"/>
      <c r="T95" s="92"/>
    </row>
    <row r="96" spans="1:20" ht="15" customHeight="1" x14ac:dyDescent="0.3">
      <c r="A96" s="44"/>
      <c r="B96" s="233"/>
      <c r="C96" s="92"/>
      <c r="D96" s="92"/>
      <c r="E96" s="92"/>
      <c r="F96" s="92"/>
      <c r="G96" s="92"/>
      <c r="H96" s="92"/>
      <c r="I96" s="92"/>
      <c r="J96" s="92"/>
      <c r="K96" s="92"/>
      <c r="L96" s="92"/>
      <c r="M96" s="92"/>
      <c r="N96" s="472"/>
      <c r="O96" s="473"/>
      <c r="P96" s="473"/>
      <c r="Q96" s="474"/>
      <c r="R96" s="92"/>
      <c r="S96" s="92"/>
      <c r="T96" s="92"/>
    </row>
    <row r="97" spans="1:25" ht="15" customHeight="1" x14ac:dyDescent="0.3">
      <c r="A97" s="44"/>
      <c r="B97" s="233"/>
      <c r="C97" s="92"/>
      <c r="D97" s="92"/>
      <c r="E97" s="92"/>
      <c r="F97" s="92"/>
      <c r="G97" s="92"/>
      <c r="H97" s="92"/>
      <c r="I97" s="92"/>
      <c r="J97" s="92"/>
      <c r="K97" s="92"/>
      <c r="L97" s="92"/>
      <c r="M97" s="92"/>
      <c r="N97" s="472"/>
      <c r="O97" s="473"/>
      <c r="P97" s="473"/>
      <c r="Q97" s="474"/>
      <c r="R97" s="92"/>
      <c r="S97" s="92"/>
      <c r="T97" s="92"/>
    </row>
    <row r="98" spans="1:25" ht="15" customHeight="1" x14ac:dyDescent="0.3">
      <c r="A98" s="44"/>
      <c r="B98" s="233"/>
      <c r="C98" s="92"/>
      <c r="D98" s="92"/>
      <c r="E98" s="92"/>
      <c r="F98" s="92"/>
      <c r="G98" s="92"/>
      <c r="H98" s="92"/>
      <c r="I98" s="92"/>
      <c r="J98" s="92"/>
      <c r="K98" s="92"/>
      <c r="L98" s="92"/>
      <c r="M98" s="92"/>
      <c r="N98" s="472"/>
      <c r="O98" s="473"/>
      <c r="P98" s="473"/>
      <c r="Q98" s="474"/>
      <c r="R98" s="92"/>
      <c r="S98" s="92"/>
      <c r="T98" s="92"/>
    </row>
    <row r="99" spans="1:25" ht="15" customHeight="1" x14ac:dyDescent="0.3">
      <c r="A99" s="44"/>
      <c r="B99" s="233"/>
      <c r="C99" s="92"/>
      <c r="D99" s="92"/>
      <c r="E99" s="92"/>
      <c r="F99" s="92"/>
      <c r="G99" s="92"/>
      <c r="H99" s="92"/>
      <c r="I99" s="92"/>
      <c r="J99" s="92"/>
      <c r="K99" s="92"/>
      <c r="L99" s="92"/>
      <c r="M99" s="92"/>
      <c r="N99" s="472"/>
      <c r="O99" s="473"/>
      <c r="P99" s="473"/>
      <c r="Q99" s="474"/>
      <c r="R99" s="92"/>
      <c r="S99" s="92"/>
      <c r="T99" s="92"/>
    </row>
    <row r="100" spans="1:25" ht="15" customHeight="1" x14ac:dyDescent="0.3">
      <c r="A100" s="44"/>
      <c r="B100" s="233"/>
      <c r="C100" s="92"/>
      <c r="D100" s="92"/>
      <c r="E100" s="92"/>
      <c r="F100" s="92"/>
      <c r="G100" s="92"/>
      <c r="H100" s="92"/>
      <c r="I100" s="92"/>
      <c r="J100" s="92"/>
      <c r="K100" s="92"/>
      <c r="L100" s="92"/>
      <c r="M100" s="92"/>
      <c r="N100" s="472"/>
      <c r="O100" s="473"/>
      <c r="P100" s="473"/>
      <c r="Q100" s="474"/>
      <c r="R100" s="92"/>
      <c r="S100" s="92"/>
      <c r="T100" s="92"/>
    </row>
    <row r="101" spans="1:25" ht="15" customHeight="1" x14ac:dyDescent="0.3">
      <c r="A101" s="44"/>
      <c r="B101" s="233"/>
      <c r="C101" s="92"/>
      <c r="D101" s="92"/>
      <c r="E101" s="92"/>
      <c r="F101" s="92"/>
      <c r="G101" s="92"/>
      <c r="H101" s="92"/>
      <c r="I101" s="92"/>
      <c r="J101" s="92"/>
      <c r="K101" s="92"/>
      <c r="L101" s="92"/>
      <c r="M101" s="92"/>
      <c r="N101" s="472"/>
      <c r="O101" s="473"/>
      <c r="P101" s="473"/>
      <c r="Q101" s="474"/>
      <c r="R101" s="92"/>
      <c r="S101" s="92"/>
      <c r="T101" s="92"/>
    </row>
    <row r="102" spans="1:25" ht="15" customHeight="1" x14ac:dyDescent="0.3">
      <c r="A102" s="44"/>
      <c r="B102" s="233"/>
      <c r="C102" s="92"/>
      <c r="D102" s="92"/>
      <c r="E102" s="92"/>
      <c r="F102" s="92"/>
      <c r="G102" s="92"/>
      <c r="H102" s="92"/>
      <c r="I102" s="92"/>
      <c r="J102" s="92"/>
      <c r="K102" s="92"/>
      <c r="L102" s="92"/>
      <c r="M102" s="92"/>
      <c r="N102" s="472"/>
      <c r="O102" s="473"/>
      <c r="P102" s="473"/>
      <c r="Q102" s="474"/>
      <c r="R102" s="92"/>
      <c r="S102" s="92"/>
      <c r="T102" s="92"/>
    </row>
    <row r="103" spans="1:25" ht="15" customHeight="1" x14ac:dyDescent="0.3">
      <c r="A103" s="44"/>
      <c r="B103" s="233"/>
      <c r="C103" s="92"/>
      <c r="D103" s="92"/>
      <c r="E103" s="92"/>
      <c r="F103" s="92"/>
      <c r="G103" s="92"/>
      <c r="H103" s="92"/>
      <c r="I103" s="92"/>
      <c r="J103" s="92"/>
      <c r="K103" s="92"/>
      <c r="L103" s="92"/>
      <c r="M103" s="92"/>
      <c r="N103" s="472"/>
      <c r="O103" s="473"/>
      <c r="P103" s="473"/>
      <c r="Q103" s="474"/>
      <c r="R103" s="92"/>
      <c r="S103" s="92"/>
      <c r="T103" s="92"/>
    </row>
    <row r="104" spans="1:25" ht="15" customHeight="1" x14ac:dyDescent="0.3">
      <c r="A104" s="44"/>
      <c r="B104" s="233" t="s">
        <v>523</v>
      </c>
      <c r="C104" s="92"/>
      <c r="D104" s="92"/>
      <c r="E104" s="92"/>
      <c r="F104" s="74" t="s">
        <v>524</v>
      </c>
      <c r="G104" s="74"/>
      <c r="H104" s="92"/>
      <c r="I104" s="92"/>
      <c r="J104" s="92"/>
      <c r="K104" s="74" t="s">
        <v>525</v>
      </c>
      <c r="L104" s="92"/>
      <c r="M104" s="92"/>
      <c r="N104" s="472"/>
      <c r="O104" s="473"/>
      <c r="P104" s="473"/>
      <c r="Q104" s="474"/>
      <c r="R104" s="92"/>
      <c r="S104" s="92"/>
      <c r="T104" s="92"/>
    </row>
    <row r="105" spans="1:25" x14ac:dyDescent="0.3">
      <c r="A105" s="55"/>
      <c r="B105" s="79"/>
      <c r="C105" s="77"/>
      <c r="D105" s="77"/>
      <c r="E105" s="77"/>
      <c r="F105" s="77"/>
      <c r="G105" s="77"/>
      <c r="H105" s="77"/>
      <c r="I105" s="77"/>
      <c r="J105" s="77"/>
      <c r="K105" s="77"/>
      <c r="L105" s="77"/>
      <c r="M105" s="77"/>
      <c r="N105" s="429"/>
      <c r="O105" s="430"/>
      <c r="P105" s="430"/>
      <c r="Q105" s="431"/>
      <c r="R105" s="54"/>
      <c r="S105" s="54"/>
      <c r="T105" s="54"/>
    </row>
    <row r="106" spans="1:25" x14ac:dyDescent="0.3">
      <c r="A106" s="20"/>
      <c r="B106" s="74"/>
      <c r="C106" s="54"/>
      <c r="D106" s="54"/>
      <c r="E106" s="54"/>
      <c r="F106" s="54"/>
      <c r="G106" s="54"/>
      <c r="H106" s="54"/>
      <c r="I106" s="54"/>
      <c r="J106" s="54"/>
      <c r="K106" s="54"/>
      <c r="L106" s="54"/>
      <c r="M106" s="54"/>
      <c r="N106" s="54"/>
      <c r="O106" s="54"/>
      <c r="P106" s="54"/>
      <c r="Q106" s="54"/>
      <c r="R106" s="54"/>
      <c r="S106" s="54"/>
      <c r="T106" s="54"/>
    </row>
    <row r="107" spans="1:25" x14ac:dyDescent="0.3">
      <c r="A107" s="56" t="s">
        <v>159</v>
      </c>
      <c r="B107" s="57"/>
      <c r="C107" s="57"/>
      <c r="D107" s="57"/>
      <c r="E107" s="57"/>
      <c r="F107" s="57"/>
      <c r="G107" s="57"/>
      <c r="H107" s="57"/>
      <c r="I107" s="57"/>
      <c r="J107" s="57"/>
      <c r="K107" s="57"/>
      <c r="L107" s="57"/>
      <c r="M107" s="57"/>
      <c r="N107" s="57"/>
      <c r="O107" s="57"/>
      <c r="P107" s="57"/>
      <c r="Q107" s="57"/>
      <c r="R107" s="54"/>
      <c r="S107" s="54"/>
      <c r="T107" s="54"/>
    </row>
    <row r="108" spans="1:25" x14ac:dyDescent="0.3">
      <c r="A108" s="132"/>
      <c r="B108" s="54"/>
      <c r="C108" s="54"/>
      <c r="D108" s="54"/>
      <c r="E108" s="54"/>
      <c r="F108" s="54"/>
      <c r="G108" s="54"/>
      <c r="H108" s="54"/>
      <c r="I108" s="54"/>
      <c r="J108" s="54"/>
      <c r="K108" s="54"/>
      <c r="L108" s="54"/>
      <c r="M108" s="54"/>
      <c r="N108" s="54"/>
      <c r="O108" s="54"/>
      <c r="P108" s="54"/>
      <c r="Q108" s="54"/>
      <c r="R108" s="54"/>
      <c r="S108" s="54"/>
      <c r="T108" s="54"/>
    </row>
    <row r="109" spans="1:25" x14ac:dyDescent="0.3">
      <c r="A109" s="133" t="str">
        <f>IF(Oplysningsside!$B$15="",1,Oplysningsside!$B$15)</f>
        <v>C bue</v>
      </c>
      <c r="B109" s="316" t="s">
        <v>484</v>
      </c>
      <c r="C109" s="234"/>
      <c r="D109" s="234"/>
      <c r="E109" s="234"/>
      <c r="F109" s="234"/>
      <c r="G109" s="234"/>
      <c r="H109" s="234"/>
      <c r="I109" s="234"/>
      <c r="J109" s="295"/>
      <c r="K109" s="110"/>
      <c r="L109" s="249" t="s">
        <v>723</v>
      </c>
      <c r="M109" s="52"/>
      <c r="N109" s="52"/>
      <c r="O109" s="52"/>
      <c r="P109" s="234"/>
      <c r="Q109" s="237"/>
      <c r="R109" s="54"/>
      <c r="S109" s="54"/>
      <c r="T109" s="54"/>
    </row>
    <row r="110" spans="1:25" x14ac:dyDescent="0.3">
      <c r="A110" s="324"/>
      <c r="B110" s="266" t="s">
        <v>583</v>
      </c>
      <c r="C110" s="262"/>
      <c r="D110" s="233"/>
      <c r="E110" s="233"/>
      <c r="F110" s="233"/>
      <c r="G110" s="233"/>
      <c r="H110" s="233"/>
      <c r="I110" s="233"/>
      <c r="J110" s="246"/>
      <c r="K110" s="241">
        <f>IF($A$109="","",IF($A$109="Mini C bue",5,30))</f>
        <v>30</v>
      </c>
      <c r="L110" s="85" t="s">
        <v>126</v>
      </c>
      <c r="M110" s="233"/>
      <c r="N110" s="233"/>
      <c r="O110" s="233"/>
      <c r="P110" s="233"/>
      <c r="Q110" s="246"/>
      <c r="R110" s="54"/>
      <c r="S110" s="54"/>
      <c r="T110" s="54"/>
    </row>
    <row r="111" spans="1:25" x14ac:dyDescent="0.3">
      <c r="A111" s="114"/>
      <c r="B111" s="233" t="s">
        <v>125</v>
      </c>
      <c r="C111" s="233"/>
      <c r="D111" s="233"/>
      <c r="E111" s="233"/>
      <c r="F111" s="233"/>
      <c r="G111" s="233"/>
      <c r="H111" s="233"/>
      <c r="I111" s="233"/>
      <c r="J111" s="246"/>
      <c r="K111" s="114"/>
      <c r="L111" s="258" t="s">
        <v>724</v>
      </c>
      <c r="M111" s="233"/>
      <c r="N111" s="233"/>
      <c r="O111" s="233"/>
      <c r="P111" s="233"/>
      <c r="Q111" s="246"/>
      <c r="R111" s="54"/>
      <c r="S111" s="54"/>
      <c r="T111" s="54"/>
    </row>
    <row r="112" spans="1:25" x14ac:dyDescent="0.3">
      <c r="A112" s="114"/>
      <c r="B112" s="268" t="s">
        <v>206</v>
      </c>
      <c r="C112" s="233"/>
      <c r="D112" s="262"/>
      <c r="E112" s="233"/>
      <c r="F112" s="233"/>
      <c r="G112" s="233"/>
      <c r="H112" s="233"/>
      <c r="I112" s="233"/>
      <c r="J112" s="246"/>
      <c r="K112" s="241"/>
      <c r="L112" s="85"/>
      <c r="M112" s="54"/>
      <c r="N112" s="54"/>
      <c r="O112" s="54"/>
      <c r="P112" s="262"/>
      <c r="Q112" s="246"/>
      <c r="R112" s="54"/>
      <c r="S112" s="54"/>
      <c r="T112" s="54"/>
      <c r="U112" s="54"/>
      <c r="V112" s="54"/>
      <c r="W112" s="54"/>
      <c r="X112" s="54"/>
      <c r="Y112" s="54"/>
    </row>
    <row r="113" spans="1:35" x14ac:dyDescent="0.3">
      <c r="A113" s="114"/>
      <c r="B113" s="266" t="s">
        <v>418</v>
      </c>
      <c r="C113" s="233"/>
      <c r="D113" s="233"/>
      <c r="E113" s="233"/>
      <c r="F113" s="233"/>
      <c r="G113" s="233"/>
      <c r="H113" s="233"/>
      <c r="I113" s="233"/>
      <c r="J113" s="246"/>
      <c r="K113" s="242" t="s">
        <v>720</v>
      </c>
      <c r="L113" s="345" t="s">
        <v>722</v>
      </c>
      <c r="M113" s="233"/>
      <c r="N113" s="233"/>
      <c r="O113" s="233"/>
      <c r="P113" s="233"/>
      <c r="Q113" s="246"/>
      <c r="R113" s="54"/>
      <c r="S113" s="54"/>
      <c r="T113" s="54"/>
      <c r="U113" s="233"/>
      <c r="V113" s="54"/>
      <c r="W113" s="233"/>
      <c r="X113" s="233"/>
      <c r="Y113" s="233"/>
      <c r="Z113" s="233"/>
    </row>
    <row r="114" spans="1:35" x14ac:dyDescent="0.3">
      <c r="A114" s="114"/>
      <c r="B114" s="266" t="s">
        <v>472</v>
      </c>
      <c r="C114" s="233"/>
      <c r="D114" s="233"/>
      <c r="E114" s="233"/>
      <c r="F114" s="233"/>
      <c r="G114" s="233"/>
      <c r="H114" s="233"/>
      <c r="I114" s="233"/>
      <c r="J114" s="246"/>
      <c r="K114" s="114"/>
      <c r="L114" s="266" t="s">
        <v>496</v>
      </c>
      <c r="M114" s="233"/>
      <c r="N114" s="233"/>
      <c r="O114" s="233"/>
      <c r="P114" s="262"/>
      <c r="Q114" s="246"/>
      <c r="R114" s="54"/>
      <c r="S114" s="54"/>
      <c r="T114" s="54"/>
      <c r="U114" s="233"/>
      <c r="V114" s="239"/>
      <c r="W114" s="233"/>
      <c r="X114" s="233"/>
      <c r="Y114" s="233"/>
      <c r="Z114" s="233"/>
    </row>
    <row r="115" spans="1:35" x14ac:dyDescent="0.3">
      <c r="A115" s="209"/>
      <c r="C115" s="233"/>
      <c r="D115" s="262"/>
      <c r="E115" s="233"/>
      <c r="F115" s="233"/>
      <c r="G115" s="233"/>
      <c r="H115" s="233"/>
      <c r="I115" s="233"/>
      <c r="J115" s="246"/>
      <c r="K115" s="209"/>
      <c r="L115" s="258"/>
      <c r="M115" s="233"/>
      <c r="N115" s="233"/>
      <c r="O115" s="233"/>
      <c r="P115" s="233"/>
      <c r="Q115" s="246"/>
      <c r="R115" s="54"/>
      <c r="S115" s="54"/>
      <c r="T115" s="54"/>
      <c r="U115" s="233"/>
      <c r="V115" s="239"/>
      <c r="W115" s="233"/>
      <c r="X115" s="233"/>
      <c r="Y115" s="233"/>
      <c r="Z115" s="233"/>
    </row>
    <row r="116" spans="1:35" x14ac:dyDescent="0.3">
      <c r="A116" s="241"/>
      <c r="B116" s="266"/>
      <c r="C116" s="233"/>
      <c r="D116" s="233"/>
      <c r="E116" s="233"/>
      <c r="F116" s="233"/>
      <c r="G116" s="233"/>
      <c r="H116" s="233"/>
      <c r="I116" s="233"/>
      <c r="J116" s="246"/>
      <c r="K116" s="209"/>
      <c r="L116" s="258"/>
      <c r="M116" s="233"/>
      <c r="N116" s="233"/>
      <c r="O116" s="233"/>
      <c r="P116" s="233"/>
      <c r="Q116" s="246"/>
      <c r="R116" s="54"/>
      <c r="S116" s="54"/>
      <c r="T116" s="54"/>
      <c r="U116" s="233"/>
      <c r="V116" s="239"/>
      <c r="W116" s="233"/>
      <c r="X116" s="233"/>
      <c r="Y116" s="233"/>
      <c r="Z116" s="233"/>
    </row>
    <row r="117" spans="1:35" x14ac:dyDescent="0.3">
      <c r="A117" s="243"/>
      <c r="B117" s="378" t="s">
        <v>498</v>
      </c>
      <c r="C117" s="182"/>
      <c r="D117" s="182"/>
      <c r="E117" s="182"/>
      <c r="F117" s="182"/>
      <c r="G117" s="182"/>
      <c r="H117" s="182"/>
      <c r="I117" s="182"/>
      <c r="J117" s="252"/>
      <c r="K117" s="213"/>
      <c r="L117" s="264"/>
      <c r="M117" s="182"/>
      <c r="N117" s="182"/>
      <c r="O117" s="182"/>
      <c r="P117" s="182"/>
      <c r="Q117" s="252"/>
      <c r="R117" s="54"/>
      <c r="S117" s="26" t="s">
        <v>499</v>
      </c>
      <c r="T117" s="182"/>
      <c r="U117" s="183"/>
      <c r="V117" s="182"/>
      <c r="W117" s="182"/>
      <c r="X117" s="182"/>
      <c r="Y117" s="233"/>
    </row>
    <row r="118" spans="1:35" x14ac:dyDescent="0.3">
      <c r="A118" s="58"/>
      <c r="B118" s="292"/>
      <c r="C118" s="197"/>
      <c r="D118" s="197"/>
      <c r="E118" s="187"/>
      <c r="F118" s="187"/>
      <c r="G118" s="187"/>
      <c r="H118" s="187"/>
      <c r="I118" s="187"/>
      <c r="J118" s="187"/>
      <c r="K118" s="58"/>
      <c r="L118" s="188"/>
      <c r="M118" s="188" t="s">
        <v>383</v>
      </c>
      <c r="N118" s="188" t="s">
        <v>383</v>
      </c>
      <c r="O118" s="58" t="s">
        <v>383</v>
      </c>
      <c r="P118" s="187"/>
      <c r="Q118" s="187"/>
      <c r="R118" s="239"/>
      <c r="S118" s="58"/>
      <c r="T118" s="185"/>
      <c r="U118" s="50"/>
      <c r="V118" s="50"/>
      <c r="W118" s="186"/>
      <c r="X118" s="186"/>
      <c r="Y118" s="187"/>
      <c r="Z118" s="187"/>
      <c r="AA118" s="187"/>
      <c r="AB118" s="187"/>
      <c r="AC118" s="58"/>
      <c r="AD118" s="188" t="s">
        <v>383</v>
      </c>
      <c r="AE118" s="188" t="s">
        <v>383</v>
      </c>
      <c r="AF118" s="188" t="s">
        <v>383</v>
      </c>
      <c r="AG118" s="58" t="s">
        <v>383</v>
      </c>
      <c r="AH118" s="187"/>
      <c r="AI118" s="187"/>
    </row>
    <row r="119" spans="1:35" x14ac:dyDescent="0.3">
      <c r="A119" s="59" t="s">
        <v>48</v>
      </c>
      <c r="B119" s="189" t="s">
        <v>62</v>
      </c>
      <c r="C119" s="50"/>
      <c r="D119" s="190"/>
      <c r="E119" s="59" t="s">
        <v>113</v>
      </c>
      <c r="F119" s="59" t="s">
        <v>435</v>
      </c>
      <c r="G119" s="59" t="s">
        <v>761</v>
      </c>
      <c r="H119" s="59" t="s">
        <v>52</v>
      </c>
      <c r="I119" s="59" t="s">
        <v>59</v>
      </c>
      <c r="J119" s="59" t="s">
        <v>50</v>
      </c>
      <c r="K119" s="59" t="s">
        <v>51</v>
      </c>
      <c r="L119" s="59" t="s">
        <v>307</v>
      </c>
      <c r="M119" s="59" t="s">
        <v>307</v>
      </c>
      <c r="N119" s="59" t="s">
        <v>307</v>
      </c>
      <c r="O119" s="59" t="s">
        <v>307</v>
      </c>
      <c r="P119" s="59" t="s">
        <v>266</v>
      </c>
      <c r="Q119" s="59" t="s">
        <v>67</v>
      </c>
      <c r="R119" s="239"/>
      <c r="S119" s="59" t="s">
        <v>48</v>
      </c>
      <c r="T119" s="189" t="s">
        <v>62</v>
      </c>
      <c r="U119" s="50"/>
      <c r="V119" s="190"/>
      <c r="W119" s="59" t="s">
        <v>113</v>
      </c>
      <c r="X119" s="59" t="s">
        <v>435</v>
      </c>
      <c r="Y119" s="59" t="s">
        <v>761</v>
      </c>
      <c r="Z119" s="59" t="s">
        <v>52</v>
      </c>
      <c r="AA119" s="59" t="s">
        <v>59</v>
      </c>
      <c r="AB119" s="59" t="s">
        <v>50</v>
      </c>
      <c r="AC119" s="59" t="s">
        <v>51</v>
      </c>
      <c r="AD119" s="59" t="s">
        <v>307</v>
      </c>
      <c r="AE119" s="59" t="s">
        <v>307</v>
      </c>
      <c r="AF119" s="59" t="s">
        <v>307</v>
      </c>
      <c r="AG119" s="59" t="s">
        <v>307</v>
      </c>
      <c r="AH119" s="59" t="s">
        <v>266</v>
      </c>
      <c r="AI119" s="59" t="s">
        <v>67</v>
      </c>
    </row>
    <row r="120" spans="1:35" x14ac:dyDescent="0.3">
      <c r="A120" s="59"/>
      <c r="B120" s="189" t="s">
        <v>49</v>
      </c>
      <c r="C120" s="50"/>
      <c r="D120" s="190"/>
      <c r="E120" s="59" t="s">
        <v>114</v>
      </c>
      <c r="F120" s="59" t="s">
        <v>109</v>
      </c>
      <c r="G120" s="59" t="s">
        <v>762</v>
      </c>
      <c r="H120" s="59" t="s">
        <v>54</v>
      </c>
      <c r="I120" s="178" t="str">
        <f>IF($A$114="","",IF($A$114="rektangulær","kant/diagonal","diameter"))</f>
        <v/>
      </c>
      <c r="J120" s="59"/>
      <c r="K120" s="59"/>
      <c r="L120" s="178" t="str">
        <f>IF($K$114="","",$K$114)</f>
        <v/>
      </c>
      <c r="M120" s="178" t="str">
        <f>IF($K$114="","",$K$114)</f>
        <v/>
      </c>
      <c r="N120" s="178" t="str">
        <f>IF($K$114="","",$K$114)</f>
        <v/>
      </c>
      <c r="O120" s="178" t="s">
        <v>66</v>
      </c>
      <c r="P120" s="59"/>
      <c r="Q120" s="59"/>
      <c r="R120" s="239"/>
      <c r="S120" s="59"/>
      <c r="T120" s="189" t="s">
        <v>49</v>
      </c>
      <c r="U120" s="50"/>
      <c r="V120" s="190"/>
      <c r="W120" s="59" t="s">
        <v>114</v>
      </c>
      <c r="X120" s="59" t="s">
        <v>109</v>
      </c>
      <c r="Y120" s="59" t="s">
        <v>762</v>
      </c>
      <c r="Z120" s="59" t="s">
        <v>54</v>
      </c>
      <c r="AA120" s="59" t="str">
        <f>IF($A$114="","",IF($A$114="rektangulær","kantlængde","diameter"))</f>
        <v/>
      </c>
      <c r="AB120" s="59"/>
      <c r="AC120" s="59"/>
      <c r="AD120" s="178" t="str">
        <f>IF($K$114="","",$K$114)</f>
        <v/>
      </c>
      <c r="AE120" s="178" t="str">
        <f>IF($K$114="","",$K$114)</f>
        <v/>
      </c>
      <c r="AF120" s="178" t="s">
        <v>434</v>
      </c>
      <c r="AG120" s="178" t="s">
        <v>66</v>
      </c>
      <c r="AH120" s="59"/>
      <c r="AI120" s="59"/>
    </row>
    <row r="121" spans="1:35" x14ac:dyDescent="0.3">
      <c r="A121" s="60"/>
      <c r="B121" s="191"/>
      <c r="C121" s="57"/>
      <c r="D121" s="192"/>
      <c r="E121" s="60"/>
      <c r="F121" s="60"/>
      <c r="G121" s="60"/>
      <c r="H121" s="60"/>
      <c r="I121" s="60" t="s">
        <v>60</v>
      </c>
      <c r="J121" s="60"/>
      <c r="K121" s="60"/>
      <c r="L121" s="60" t="s">
        <v>65</v>
      </c>
      <c r="M121" s="60" t="s">
        <v>261</v>
      </c>
      <c r="N121" s="60" t="s">
        <v>64</v>
      </c>
      <c r="O121" s="60" t="s">
        <v>64</v>
      </c>
      <c r="P121" s="179" t="s">
        <v>267</v>
      </c>
      <c r="Q121" s="179" t="s">
        <v>130</v>
      </c>
      <c r="R121" s="239"/>
      <c r="S121" s="60"/>
      <c r="T121" s="191"/>
      <c r="U121" s="57"/>
      <c r="V121" s="192"/>
      <c r="W121" s="60"/>
      <c r="X121" s="60"/>
      <c r="Y121" s="60"/>
      <c r="Z121" s="60"/>
      <c r="AA121" s="60" t="s">
        <v>60</v>
      </c>
      <c r="AB121" s="60"/>
      <c r="AC121" s="60"/>
      <c r="AD121" s="60" t="s">
        <v>65</v>
      </c>
      <c r="AE121" s="60" t="s">
        <v>261</v>
      </c>
      <c r="AF121" s="60" t="s">
        <v>64</v>
      </c>
      <c r="AG121" s="60" t="s">
        <v>64</v>
      </c>
      <c r="AH121" s="179" t="s">
        <v>267</v>
      </c>
      <c r="AI121" s="179" t="s">
        <v>130</v>
      </c>
    </row>
    <row r="122" spans="1:35" x14ac:dyDescent="0.3">
      <c r="A122" s="61">
        <v>1</v>
      </c>
      <c r="B122" s="397"/>
      <c r="C122" s="468"/>
      <c r="D122" s="398"/>
      <c r="E122" s="90"/>
      <c r="F122" s="90"/>
      <c r="G122" s="90"/>
      <c r="H122" s="90"/>
      <c r="I122" s="90"/>
      <c r="J122" s="90"/>
      <c r="K122" s="90"/>
      <c r="L122" s="90"/>
      <c r="M122" s="180" t="str">
        <f t="shared" ref="M122:M131" si="2">IF(OR(L122="",$A$112=""),"",IF($A$112="ionkammer",L122,L122*1.4))</f>
        <v/>
      </c>
      <c r="N122" s="193" t="str">
        <f t="shared" ref="N122:N131" si="3">IF(OR($K$109="",$K$111="",L122="",$A$112=""),"",M122*($K$109-$K$111)^2/($K$109-$K$110)^2)</f>
        <v/>
      </c>
      <c r="O122" s="194" t="str">
        <f>IF(OR($K$109="",$K$111="",L122="",$A$112=""),"",N122*VLOOKUP($K$114,Data!$L$32:$M$36,2,FALSE))</f>
        <v/>
      </c>
      <c r="P122" s="195" t="str">
        <f t="shared" ref="P122:P131" si="4">IF(OR($A$109="",$K$111="",L122="",$A$112=""),"",IF($A$109="Mini C bue",5,30))</f>
        <v/>
      </c>
      <c r="Q122" s="61" t="str">
        <f>IF(OR($K$109="",$K$111="",L122=""),"",IF(O122&gt;P122,"Ikke OK","OK"))</f>
        <v/>
      </c>
      <c r="R122" s="239"/>
      <c r="S122" s="61">
        <v>1</v>
      </c>
      <c r="T122" s="397"/>
      <c r="U122" s="468"/>
      <c r="V122" s="398"/>
      <c r="W122" s="90"/>
      <c r="X122" s="90"/>
      <c r="Y122" s="90"/>
      <c r="Z122" s="90"/>
      <c r="AA122" s="90"/>
      <c r="AB122" s="90"/>
      <c r="AC122" s="90"/>
      <c r="AD122" s="90"/>
      <c r="AE122" s="283" t="str">
        <f t="shared" ref="AE122:AE131" si="5">IF(OR(AD122="",$A$112=""),"",IF($A$112="ionkammer",AD122,AD122*1.4))</f>
        <v/>
      </c>
      <c r="AF122" s="283" t="str">
        <f t="shared" ref="AF122:AF131" si="6">IF(OR($K$109="",$K$111="",AD122="",$A$112=""),"",AE122*($K$109-$K$111)^2/($K$109-$K$110)^2)</f>
        <v/>
      </c>
      <c r="AG122" s="379" t="str">
        <f>IF(OR($K$109="",$K$111="",AD122="",$A$112=""),"",AF122*VLOOKUP($K$114,Data!$L$32:$M$36,2,FALSE))</f>
        <v/>
      </c>
      <c r="AH122" s="195" t="str">
        <f t="shared" ref="AH122:AH131" si="7">IF(OR($A$109="",$K$111="",AD122="",$A$112=""),"",IF($A$109="Mini C bue",5,30))</f>
        <v/>
      </c>
      <c r="AI122" s="61" t="str">
        <f t="shared" ref="AI122:AI131" si="8">IF(OR($K$109="",AD122=""),"",IF(AG122&gt;AH122,"Ikke OK","OK"))</f>
        <v/>
      </c>
    </row>
    <row r="123" spans="1:35" x14ac:dyDescent="0.3">
      <c r="A123" s="61">
        <v>2</v>
      </c>
      <c r="B123" s="397"/>
      <c r="C123" s="468"/>
      <c r="D123" s="398"/>
      <c r="E123" s="90"/>
      <c r="F123" s="90"/>
      <c r="G123" s="90"/>
      <c r="H123" s="90"/>
      <c r="I123" s="90"/>
      <c r="J123" s="90"/>
      <c r="K123" s="90"/>
      <c r="L123" s="90"/>
      <c r="M123" s="180" t="str">
        <f t="shared" si="2"/>
        <v/>
      </c>
      <c r="N123" s="193" t="str">
        <f t="shared" si="3"/>
        <v/>
      </c>
      <c r="O123" s="194" t="str">
        <f>IF(OR($K$109="",$K$111="",L123="",$A$112=""),"",N123*VLOOKUP($K$114,Data!$L$32:$M$36,2,FALSE))</f>
        <v/>
      </c>
      <c r="P123" s="195" t="str">
        <f t="shared" si="4"/>
        <v/>
      </c>
      <c r="Q123" s="61" t="str">
        <f t="shared" ref="Q123:Q131" si="9">IF(OR($K$109="",L123=""),"",IF(O123&gt;P123,"Ikke OK","OK"))</f>
        <v/>
      </c>
      <c r="R123" s="239"/>
      <c r="S123" s="61">
        <v>2</v>
      </c>
      <c r="T123" s="397"/>
      <c r="U123" s="468"/>
      <c r="V123" s="398"/>
      <c r="W123" s="90"/>
      <c r="X123" s="90"/>
      <c r="Y123" s="90"/>
      <c r="Z123" s="90"/>
      <c r="AA123" s="90"/>
      <c r="AB123" s="90"/>
      <c r="AC123" s="90"/>
      <c r="AD123" s="90"/>
      <c r="AE123" s="283" t="str">
        <f t="shared" si="5"/>
        <v/>
      </c>
      <c r="AF123" s="283" t="str">
        <f t="shared" si="6"/>
        <v/>
      </c>
      <c r="AG123" s="379" t="str">
        <f>IF(OR($K$109="",$K$111="",AD123="",$A$112=""),"",AF123*VLOOKUP($K$114,Data!$L$32:$M$36,2,FALSE))</f>
        <v/>
      </c>
      <c r="AH123" s="195" t="str">
        <f t="shared" si="7"/>
        <v/>
      </c>
      <c r="AI123" s="61" t="str">
        <f t="shared" si="8"/>
        <v/>
      </c>
    </row>
    <row r="124" spans="1:35" x14ac:dyDescent="0.3">
      <c r="A124" s="61">
        <v>3</v>
      </c>
      <c r="B124" s="397"/>
      <c r="C124" s="468"/>
      <c r="D124" s="398"/>
      <c r="E124" s="90"/>
      <c r="F124" s="90"/>
      <c r="G124" s="90"/>
      <c r="H124" s="90"/>
      <c r="I124" s="90"/>
      <c r="J124" s="90"/>
      <c r="K124" s="90"/>
      <c r="L124" s="90"/>
      <c r="M124" s="180" t="str">
        <f t="shared" si="2"/>
        <v/>
      </c>
      <c r="N124" s="193" t="str">
        <f t="shared" si="3"/>
        <v/>
      </c>
      <c r="O124" s="194" t="str">
        <f>IF(OR($K$109="",$K$111="",L124="",$A$112=""),"",N124*VLOOKUP($K$114,Data!$L$32:$M$36,2,FALSE))</f>
        <v/>
      </c>
      <c r="P124" s="195" t="str">
        <f t="shared" si="4"/>
        <v/>
      </c>
      <c r="Q124" s="61" t="str">
        <f t="shared" si="9"/>
        <v/>
      </c>
      <c r="R124" s="239"/>
      <c r="S124" s="61">
        <v>3</v>
      </c>
      <c r="T124" s="397"/>
      <c r="U124" s="468"/>
      <c r="V124" s="398"/>
      <c r="W124" s="90"/>
      <c r="X124" s="90"/>
      <c r="Y124" s="90"/>
      <c r="Z124" s="90"/>
      <c r="AA124" s="90"/>
      <c r="AB124" s="90"/>
      <c r="AC124" s="90"/>
      <c r="AD124" s="90"/>
      <c r="AE124" s="283" t="str">
        <f t="shared" si="5"/>
        <v/>
      </c>
      <c r="AF124" s="283" t="str">
        <f t="shared" si="6"/>
        <v/>
      </c>
      <c r="AG124" s="379" t="str">
        <f>IF(OR($K$109="",$K$111="",AD124="",$A$112=""),"",AF124*VLOOKUP($K$114,Data!$L$32:$M$36,2,FALSE))</f>
        <v/>
      </c>
      <c r="AH124" s="195" t="str">
        <f t="shared" si="7"/>
        <v/>
      </c>
      <c r="AI124" s="61" t="str">
        <f t="shared" si="8"/>
        <v/>
      </c>
    </row>
    <row r="125" spans="1:35" x14ac:dyDescent="0.3">
      <c r="A125" s="61">
        <v>4</v>
      </c>
      <c r="B125" s="397"/>
      <c r="C125" s="468"/>
      <c r="D125" s="398"/>
      <c r="E125" s="90"/>
      <c r="F125" s="90"/>
      <c r="G125" s="90"/>
      <c r="H125" s="90"/>
      <c r="I125" s="90"/>
      <c r="J125" s="90"/>
      <c r="K125" s="90"/>
      <c r="L125" s="90"/>
      <c r="M125" s="180" t="str">
        <f t="shared" si="2"/>
        <v/>
      </c>
      <c r="N125" s="193" t="str">
        <f t="shared" si="3"/>
        <v/>
      </c>
      <c r="O125" s="194" t="str">
        <f>IF(OR($K$109="",$K$111="",L125="",$A$112=""),"",N125*VLOOKUP($K$114,Data!$L$32:$M$36,2,FALSE))</f>
        <v/>
      </c>
      <c r="P125" s="195" t="str">
        <f t="shared" si="4"/>
        <v/>
      </c>
      <c r="Q125" s="61" t="str">
        <f t="shared" si="9"/>
        <v/>
      </c>
      <c r="R125" s="239"/>
      <c r="S125" s="61">
        <v>4</v>
      </c>
      <c r="T125" s="397"/>
      <c r="U125" s="468"/>
      <c r="V125" s="398"/>
      <c r="W125" s="90"/>
      <c r="X125" s="90"/>
      <c r="Y125" s="90"/>
      <c r="Z125" s="90"/>
      <c r="AA125" s="90"/>
      <c r="AB125" s="90"/>
      <c r="AC125" s="90"/>
      <c r="AD125" s="90"/>
      <c r="AE125" s="283" t="str">
        <f t="shared" si="5"/>
        <v/>
      </c>
      <c r="AF125" s="283" t="str">
        <f t="shared" si="6"/>
        <v/>
      </c>
      <c r="AG125" s="379" t="str">
        <f>IF(OR($K$109="",$K$111="",AD125="",$A$112=""),"",AF125*VLOOKUP($K$114,Data!$L$32:$M$36,2,FALSE))</f>
        <v/>
      </c>
      <c r="AH125" s="195" t="str">
        <f t="shared" si="7"/>
        <v/>
      </c>
      <c r="AI125" s="61" t="str">
        <f t="shared" si="8"/>
        <v/>
      </c>
    </row>
    <row r="126" spans="1:35" x14ac:dyDescent="0.3">
      <c r="A126" s="61">
        <v>5</v>
      </c>
      <c r="B126" s="397"/>
      <c r="C126" s="468"/>
      <c r="D126" s="398"/>
      <c r="E126" s="90"/>
      <c r="F126" s="90"/>
      <c r="G126" s="90"/>
      <c r="H126" s="90"/>
      <c r="I126" s="90"/>
      <c r="J126" s="90"/>
      <c r="K126" s="90"/>
      <c r="L126" s="90"/>
      <c r="M126" s="180" t="str">
        <f t="shared" si="2"/>
        <v/>
      </c>
      <c r="N126" s="193" t="str">
        <f t="shared" si="3"/>
        <v/>
      </c>
      <c r="O126" s="194" t="str">
        <f>IF(OR($K$109="",$K$111="",L126="",$A$112=""),"",N126*VLOOKUP($K$114,Data!$L$32:$M$36,2,FALSE))</f>
        <v/>
      </c>
      <c r="P126" s="195" t="str">
        <f t="shared" si="4"/>
        <v/>
      </c>
      <c r="Q126" s="61" t="str">
        <f t="shared" si="9"/>
        <v/>
      </c>
      <c r="R126" s="239"/>
      <c r="S126" s="61">
        <v>5</v>
      </c>
      <c r="T126" s="397"/>
      <c r="U126" s="468"/>
      <c r="V126" s="398"/>
      <c r="W126" s="90"/>
      <c r="X126" s="90"/>
      <c r="Y126" s="90"/>
      <c r="Z126" s="90"/>
      <c r="AA126" s="90"/>
      <c r="AB126" s="90"/>
      <c r="AC126" s="90"/>
      <c r="AD126" s="90"/>
      <c r="AE126" s="283" t="str">
        <f t="shared" si="5"/>
        <v/>
      </c>
      <c r="AF126" s="283" t="str">
        <f t="shared" si="6"/>
        <v/>
      </c>
      <c r="AG126" s="379" t="str">
        <f>IF(OR($K$109="",$K$111="",AD126="",$A$112=""),"",AF126*VLOOKUP($K$114,Data!$L$32:$M$36,2,FALSE))</f>
        <v/>
      </c>
      <c r="AH126" s="195" t="str">
        <f t="shared" si="7"/>
        <v/>
      </c>
      <c r="AI126" s="61" t="str">
        <f t="shared" si="8"/>
        <v/>
      </c>
    </row>
    <row r="127" spans="1:35" x14ac:dyDescent="0.3">
      <c r="A127" s="61">
        <v>6</v>
      </c>
      <c r="B127" s="397"/>
      <c r="C127" s="468"/>
      <c r="D127" s="398"/>
      <c r="E127" s="90"/>
      <c r="F127" s="90"/>
      <c r="G127" s="90"/>
      <c r="H127" s="90"/>
      <c r="I127" s="90"/>
      <c r="J127" s="90"/>
      <c r="K127" s="90"/>
      <c r="L127" s="90"/>
      <c r="M127" s="180" t="str">
        <f t="shared" si="2"/>
        <v/>
      </c>
      <c r="N127" s="193" t="str">
        <f t="shared" si="3"/>
        <v/>
      </c>
      <c r="O127" s="194" t="str">
        <f>IF(OR($K$109="",$K$111="",L127="",$A$112=""),"",N127*VLOOKUP($K$114,Data!$L$32:$M$36,2,FALSE))</f>
        <v/>
      </c>
      <c r="P127" s="195" t="str">
        <f t="shared" si="4"/>
        <v/>
      </c>
      <c r="Q127" s="61" t="str">
        <f t="shared" si="9"/>
        <v/>
      </c>
      <c r="R127" s="239"/>
      <c r="S127" s="61">
        <v>6</v>
      </c>
      <c r="T127" s="397"/>
      <c r="U127" s="468"/>
      <c r="V127" s="398"/>
      <c r="W127" s="90"/>
      <c r="X127" s="90"/>
      <c r="Y127" s="90"/>
      <c r="Z127" s="90"/>
      <c r="AA127" s="90"/>
      <c r="AB127" s="90"/>
      <c r="AC127" s="90"/>
      <c r="AD127" s="90"/>
      <c r="AE127" s="283" t="str">
        <f t="shared" si="5"/>
        <v/>
      </c>
      <c r="AF127" s="283" t="str">
        <f t="shared" si="6"/>
        <v/>
      </c>
      <c r="AG127" s="379" t="str">
        <f>IF(OR($K$109="",$K$111="",AD127="",$A$112=""),"",AF127*VLOOKUP($K$114,Data!$L$32:$M$36,2,FALSE))</f>
        <v/>
      </c>
      <c r="AH127" s="195" t="str">
        <f t="shared" si="7"/>
        <v/>
      </c>
      <c r="AI127" s="61" t="str">
        <f t="shared" si="8"/>
        <v/>
      </c>
    </row>
    <row r="128" spans="1:35" x14ac:dyDescent="0.3">
      <c r="A128" s="61">
        <v>7</v>
      </c>
      <c r="B128" s="397"/>
      <c r="C128" s="468"/>
      <c r="D128" s="398"/>
      <c r="E128" s="90"/>
      <c r="F128" s="90"/>
      <c r="G128" s="90"/>
      <c r="H128" s="90"/>
      <c r="I128" s="90"/>
      <c r="J128" s="90"/>
      <c r="K128" s="90"/>
      <c r="L128" s="90"/>
      <c r="M128" s="180" t="str">
        <f t="shared" si="2"/>
        <v/>
      </c>
      <c r="N128" s="193" t="str">
        <f t="shared" si="3"/>
        <v/>
      </c>
      <c r="O128" s="194" t="str">
        <f>IF(OR($K$109="",$K$111="",L128="",$A$112=""),"",N128*VLOOKUP($K$114,Data!$L$32:$M$36,2,FALSE))</f>
        <v/>
      </c>
      <c r="P128" s="195" t="str">
        <f t="shared" si="4"/>
        <v/>
      </c>
      <c r="Q128" s="61" t="str">
        <f t="shared" si="9"/>
        <v/>
      </c>
      <c r="R128" s="239"/>
      <c r="S128" s="61">
        <v>7</v>
      </c>
      <c r="T128" s="397"/>
      <c r="U128" s="468"/>
      <c r="V128" s="398"/>
      <c r="W128" s="90"/>
      <c r="X128" s="90"/>
      <c r="Y128" s="90"/>
      <c r="Z128" s="90"/>
      <c r="AA128" s="90"/>
      <c r="AB128" s="90"/>
      <c r="AC128" s="90"/>
      <c r="AD128" s="90"/>
      <c r="AE128" s="283" t="str">
        <f t="shared" si="5"/>
        <v/>
      </c>
      <c r="AF128" s="283" t="str">
        <f t="shared" si="6"/>
        <v/>
      </c>
      <c r="AG128" s="379" t="str">
        <f>IF(OR($K$109="",$K$111="",AD128="",$A$112=""),"",AF128*VLOOKUP($K$114,Data!$L$32:$M$36,2,FALSE))</f>
        <v/>
      </c>
      <c r="AH128" s="195" t="str">
        <f t="shared" si="7"/>
        <v/>
      </c>
      <c r="AI128" s="61" t="str">
        <f t="shared" si="8"/>
        <v/>
      </c>
    </row>
    <row r="129" spans="1:35" x14ac:dyDescent="0.3">
      <c r="A129" s="61">
        <v>8</v>
      </c>
      <c r="B129" s="397"/>
      <c r="C129" s="468"/>
      <c r="D129" s="398"/>
      <c r="E129" s="90"/>
      <c r="F129" s="90"/>
      <c r="G129" s="90"/>
      <c r="H129" s="90"/>
      <c r="I129" s="90"/>
      <c r="J129" s="90"/>
      <c r="K129" s="90"/>
      <c r="L129" s="90"/>
      <c r="M129" s="180" t="str">
        <f t="shared" si="2"/>
        <v/>
      </c>
      <c r="N129" s="193" t="str">
        <f t="shared" si="3"/>
        <v/>
      </c>
      <c r="O129" s="194" t="str">
        <f>IF(OR($K$109="",$K$111="",L129="",$A$112=""),"",N129*VLOOKUP($K$114,Data!$L$32:$M$36,2,FALSE))</f>
        <v/>
      </c>
      <c r="P129" s="195" t="str">
        <f t="shared" si="4"/>
        <v/>
      </c>
      <c r="Q129" s="61" t="str">
        <f t="shared" si="9"/>
        <v/>
      </c>
      <c r="R129" s="239"/>
      <c r="S129" s="61">
        <v>8</v>
      </c>
      <c r="T129" s="397"/>
      <c r="U129" s="468"/>
      <c r="V129" s="398"/>
      <c r="W129" s="90"/>
      <c r="X129" s="90"/>
      <c r="Y129" s="90"/>
      <c r="Z129" s="90"/>
      <c r="AA129" s="90"/>
      <c r="AB129" s="90"/>
      <c r="AC129" s="90"/>
      <c r="AD129" s="90"/>
      <c r="AE129" s="283" t="str">
        <f t="shared" si="5"/>
        <v/>
      </c>
      <c r="AF129" s="283" t="str">
        <f t="shared" si="6"/>
        <v/>
      </c>
      <c r="AG129" s="379" t="str">
        <f>IF(OR($K$109="",$K$111="",AD129="",$A$112=""),"",AF129*VLOOKUP($K$114,Data!$L$32:$M$36,2,FALSE))</f>
        <v/>
      </c>
      <c r="AH129" s="195" t="str">
        <f t="shared" si="7"/>
        <v/>
      </c>
      <c r="AI129" s="61" t="str">
        <f t="shared" si="8"/>
        <v/>
      </c>
    </row>
    <row r="130" spans="1:35" x14ac:dyDescent="0.3">
      <c r="A130" s="61">
        <v>9</v>
      </c>
      <c r="B130" s="397"/>
      <c r="C130" s="468"/>
      <c r="D130" s="398"/>
      <c r="E130" s="90"/>
      <c r="F130" s="90"/>
      <c r="G130" s="90"/>
      <c r="H130" s="90"/>
      <c r="I130" s="90"/>
      <c r="J130" s="90"/>
      <c r="K130" s="90"/>
      <c r="L130" s="90"/>
      <c r="M130" s="180" t="str">
        <f t="shared" si="2"/>
        <v/>
      </c>
      <c r="N130" s="193" t="str">
        <f t="shared" si="3"/>
        <v/>
      </c>
      <c r="O130" s="194" t="str">
        <f>IF(OR($K$109="",$K$111="",L130="",$A$112=""),"",N130*VLOOKUP($K$114,Data!$L$32:$M$36,2,FALSE))</f>
        <v/>
      </c>
      <c r="P130" s="195" t="str">
        <f t="shared" si="4"/>
        <v/>
      </c>
      <c r="Q130" s="61" t="str">
        <f t="shared" si="9"/>
        <v/>
      </c>
      <c r="R130" s="239"/>
      <c r="S130" s="61">
        <v>9</v>
      </c>
      <c r="T130" s="397"/>
      <c r="U130" s="468"/>
      <c r="V130" s="398"/>
      <c r="W130" s="90"/>
      <c r="X130" s="90"/>
      <c r="Y130" s="90"/>
      <c r="Z130" s="90"/>
      <c r="AA130" s="90"/>
      <c r="AB130" s="90"/>
      <c r="AC130" s="90"/>
      <c r="AD130" s="90"/>
      <c r="AE130" s="283" t="str">
        <f t="shared" si="5"/>
        <v/>
      </c>
      <c r="AF130" s="283" t="str">
        <f t="shared" si="6"/>
        <v/>
      </c>
      <c r="AG130" s="379" t="str">
        <f>IF(OR($K$109="",$K$111="",AD130="",$A$112=""),"",AF130*VLOOKUP($K$114,Data!$L$32:$M$36,2,FALSE))</f>
        <v/>
      </c>
      <c r="AH130" s="195" t="str">
        <f t="shared" si="7"/>
        <v/>
      </c>
      <c r="AI130" s="61" t="str">
        <f t="shared" si="8"/>
        <v/>
      </c>
    </row>
    <row r="131" spans="1:35" x14ac:dyDescent="0.3">
      <c r="A131" s="61">
        <v>10</v>
      </c>
      <c r="B131" s="397"/>
      <c r="C131" s="468"/>
      <c r="D131" s="398"/>
      <c r="E131" s="90"/>
      <c r="F131" s="90"/>
      <c r="G131" s="90"/>
      <c r="H131" s="90"/>
      <c r="I131" s="90"/>
      <c r="J131" s="90"/>
      <c r="K131" s="90"/>
      <c r="L131" s="90"/>
      <c r="M131" s="180" t="str">
        <f t="shared" si="2"/>
        <v/>
      </c>
      <c r="N131" s="193" t="str">
        <f t="shared" si="3"/>
        <v/>
      </c>
      <c r="O131" s="194" t="str">
        <f>IF(OR($K$109="",$K$111="",L131="",$A$112=""),"",N131*VLOOKUP($K$114,Data!$L$32:$M$36,2,FALSE))</f>
        <v/>
      </c>
      <c r="P131" s="195" t="str">
        <f t="shared" si="4"/>
        <v/>
      </c>
      <c r="Q131" s="61" t="str">
        <f t="shared" si="9"/>
        <v/>
      </c>
      <c r="R131" s="239"/>
      <c r="S131" s="61">
        <v>10</v>
      </c>
      <c r="T131" s="397"/>
      <c r="U131" s="468"/>
      <c r="V131" s="398"/>
      <c r="W131" s="90"/>
      <c r="X131" s="90"/>
      <c r="Y131" s="90"/>
      <c r="Z131" s="90"/>
      <c r="AA131" s="90"/>
      <c r="AB131" s="90"/>
      <c r="AC131" s="90"/>
      <c r="AD131" s="90"/>
      <c r="AE131" s="283" t="str">
        <f t="shared" si="5"/>
        <v/>
      </c>
      <c r="AF131" s="283" t="str">
        <f t="shared" si="6"/>
        <v/>
      </c>
      <c r="AG131" s="379" t="str">
        <f>IF(OR($K$109="",$K$111="",AD131="",$A$112=""),"",AF131*VLOOKUP($K$114,Data!$L$32:$M$36,2,FALSE))</f>
        <v/>
      </c>
      <c r="AH131" s="195" t="str">
        <f t="shared" si="7"/>
        <v/>
      </c>
      <c r="AI131" s="61" t="str">
        <f t="shared" si="8"/>
        <v/>
      </c>
    </row>
    <row r="132" spans="1:35" x14ac:dyDescent="0.3">
      <c r="A132" s="58"/>
      <c r="B132" s="196"/>
      <c r="C132" s="197"/>
      <c r="D132" s="198"/>
      <c r="E132" s="58"/>
      <c r="F132" s="58"/>
      <c r="G132" s="58"/>
      <c r="H132" s="58"/>
      <c r="I132" s="58"/>
      <c r="J132" s="58"/>
      <c r="K132" s="58"/>
      <c r="L132" s="58"/>
      <c r="M132" s="199" t="s">
        <v>383</v>
      </c>
      <c r="N132" s="200" t="s">
        <v>383</v>
      </c>
      <c r="O132" s="199" t="s">
        <v>383</v>
      </c>
      <c r="P132" s="201"/>
      <c r="Q132" s="58"/>
      <c r="R132" s="239"/>
      <c r="S132" s="58"/>
      <c r="T132" s="196"/>
      <c r="U132" s="197"/>
      <c r="V132" s="198"/>
      <c r="W132" s="58"/>
      <c r="X132" s="58"/>
      <c r="Y132" s="58"/>
      <c r="Z132" s="58"/>
      <c r="AA132" s="58"/>
      <c r="AB132" s="58"/>
      <c r="AC132" s="58"/>
      <c r="AD132" s="58" t="s">
        <v>383</v>
      </c>
      <c r="AE132" s="199" t="s">
        <v>383</v>
      </c>
      <c r="AF132" s="200" t="s">
        <v>383</v>
      </c>
      <c r="AG132" s="199" t="s">
        <v>383</v>
      </c>
      <c r="AH132" s="201"/>
      <c r="AI132" s="58"/>
    </row>
    <row r="133" spans="1:35" x14ac:dyDescent="0.3">
      <c r="A133" s="59" t="s">
        <v>48</v>
      </c>
      <c r="B133" s="189" t="s">
        <v>560</v>
      </c>
      <c r="C133" s="50"/>
      <c r="D133" s="190"/>
      <c r="E133" s="59" t="s">
        <v>113</v>
      </c>
      <c r="F133" s="59" t="s">
        <v>262</v>
      </c>
      <c r="G133" s="59" t="s">
        <v>761</v>
      </c>
      <c r="H133" s="59" t="s">
        <v>306</v>
      </c>
      <c r="I133" s="59" t="s">
        <v>59</v>
      </c>
      <c r="J133" s="59" t="s">
        <v>50</v>
      </c>
      <c r="K133" s="59" t="s">
        <v>51</v>
      </c>
      <c r="L133" s="59" t="s">
        <v>307</v>
      </c>
      <c r="M133" s="59" t="s">
        <v>307</v>
      </c>
      <c r="N133" s="59" t="s">
        <v>307</v>
      </c>
      <c r="O133" s="178" t="s">
        <v>307</v>
      </c>
      <c r="P133" s="59" t="s">
        <v>266</v>
      </c>
      <c r="Q133" s="59" t="s">
        <v>67</v>
      </c>
      <c r="R133" s="239"/>
      <c r="S133" s="59" t="s">
        <v>48</v>
      </c>
      <c r="T133" s="189" t="s">
        <v>560</v>
      </c>
      <c r="U133" s="50"/>
      <c r="V133" s="190"/>
      <c r="W133" s="59" t="s">
        <v>113</v>
      </c>
      <c r="X133" s="59" t="s">
        <v>262</v>
      </c>
      <c r="Y133" s="59" t="s">
        <v>761</v>
      </c>
      <c r="Z133" s="59" t="s">
        <v>306</v>
      </c>
      <c r="AA133" s="59" t="s">
        <v>59</v>
      </c>
      <c r="AB133" s="59" t="s">
        <v>50</v>
      </c>
      <c r="AC133" s="59" t="s">
        <v>51</v>
      </c>
      <c r="AD133" s="59" t="s">
        <v>307</v>
      </c>
      <c r="AE133" s="59" t="s">
        <v>307</v>
      </c>
      <c r="AF133" s="59" t="s">
        <v>307</v>
      </c>
      <c r="AG133" s="178" t="s">
        <v>307</v>
      </c>
      <c r="AH133" s="59" t="s">
        <v>266</v>
      </c>
      <c r="AI133" s="59" t="s">
        <v>67</v>
      </c>
    </row>
    <row r="134" spans="1:35" x14ac:dyDescent="0.3">
      <c r="A134" s="59"/>
      <c r="B134" s="189" t="s">
        <v>49</v>
      </c>
      <c r="C134" s="50"/>
      <c r="D134" s="190"/>
      <c r="E134" s="59" t="s">
        <v>114</v>
      </c>
      <c r="F134" s="59" t="s">
        <v>263</v>
      </c>
      <c r="G134" s="59" t="s">
        <v>762</v>
      </c>
      <c r="H134" s="59" t="s">
        <v>305</v>
      </c>
      <c r="I134" s="178" t="str">
        <f>IF($A$114="","",IF($A$114="rektangulær","kant/diagonal","diameter"))</f>
        <v/>
      </c>
      <c r="J134" s="59"/>
      <c r="K134" s="59"/>
      <c r="L134" s="178" t="str">
        <f>IF($K$114="","",$K$114)</f>
        <v/>
      </c>
      <c r="M134" s="178" t="str">
        <f>IF($K$114="","",$K$114)</f>
        <v/>
      </c>
      <c r="N134" s="178" t="str">
        <f>IF($K$114="","",$K$114)</f>
        <v/>
      </c>
      <c r="O134" s="178" t="s">
        <v>304</v>
      </c>
      <c r="P134" s="59"/>
      <c r="Q134" s="59"/>
      <c r="R134" s="239"/>
      <c r="S134" s="59"/>
      <c r="T134" s="189" t="s">
        <v>49</v>
      </c>
      <c r="U134" s="50"/>
      <c r="V134" s="190"/>
      <c r="W134" s="59" t="s">
        <v>114</v>
      </c>
      <c r="X134" s="59" t="s">
        <v>263</v>
      </c>
      <c r="Y134" s="59" t="s">
        <v>762</v>
      </c>
      <c r="Z134" s="59" t="s">
        <v>305</v>
      </c>
      <c r="AA134" s="178" t="str">
        <f>IF($A$114="","",IF($A$114="rektangulær","kant/diagonal","diameter"))</f>
        <v/>
      </c>
      <c r="AB134" s="59"/>
      <c r="AC134" s="59"/>
      <c r="AD134" s="178" t="str">
        <f>IF($K$114="","",$K$114)</f>
        <v/>
      </c>
      <c r="AE134" s="178" t="str">
        <f>IF($K$114="","",$K$114)</f>
        <v/>
      </c>
      <c r="AF134" s="178" t="s">
        <v>434</v>
      </c>
      <c r="AG134" s="178" t="s">
        <v>304</v>
      </c>
      <c r="AH134" s="59"/>
      <c r="AI134" s="59"/>
    </row>
    <row r="135" spans="1:35" x14ac:dyDescent="0.3">
      <c r="A135" s="60"/>
      <c r="B135" s="191"/>
      <c r="C135" s="57"/>
      <c r="D135" s="192"/>
      <c r="E135" s="60"/>
      <c r="F135" s="60"/>
      <c r="G135" s="60"/>
      <c r="H135" s="60"/>
      <c r="I135" s="60" t="s">
        <v>60</v>
      </c>
      <c r="J135" s="60"/>
      <c r="K135" s="60"/>
      <c r="L135" s="60" t="s">
        <v>65</v>
      </c>
      <c r="M135" s="60" t="s">
        <v>261</v>
      </c>
      <c r="N135" s="60" t="s">
        <v>64</v>
      </c>
      <c r="O135" s="202" t="s">
        <v>64</v>
      </c>
      <c r="P135" s="179" t="s">
        <v>268</v>
      </c>
      <c r="Q135" s="179" t="s">
        <v>130</v>
      </c>
      <c r="R135" s="239"/>
      <c r="S135" s="60"/>
      <c r="T135" s="191"/>
      <c r="U135" s="57"/>
      <c r="V135" s="192"/>
      <c r="W135" s="60"/>
      <c r="X135" s="60"/>
      <c r="Y135" s="60"/>
      <c r="Z135" s="60"/>
      <c r="AA135" s="60" t="s">
        <v>60</v>
      </c>
      <c r="AB135" s="60"/>
      <c r="AC135" s="60"/>
      <c r="AD135" s="60" t="s">
        <v>65</v>
      </c>
      <c r="AE135" s="60" t="s">
        <v>261</v>
      </c>
      <c r="AF135" s="60" t="s">
        <v>64</v>
      </c>
      <c r="AG135" s="202" t="s">
        <v>64</v>
      </c>
      <c r="AH135" s="179" t="s">
        <v>268</v>
      </c>
      <c r="AI135" s="179" t="s">
        <v>130</v>
      </c>
    </row>
    <row r="136" spans="1:35" x14ac:dyDescent="0.3">
      <c r="A136" s="61">
        <v>1</v>
      </c>
      <c r="B136" s="397"/>
      <c r="C136" s="468"/>
      <c r="D136" s="398"/>
      <c r="E136" s="90"/>
      <c r="F136" s="90"/>
      <c r="G136" s="90"/>
      <c r="H136" s="90"/>
      <c r="I136" s="90"/>
      <c r="J136" s="90"/>
      <c r="K136" s="90"/>
      <c r="L136" s="167"/>
      <c r="M136" s="180" t="str">
        <f t="shared" ref="M136:M145" si="10">IF(OR(L136="",$A$112=""),"",IF($A$112="ionkammer",L136,L136*1.4))</f>
        <v/>
      </c>
      <c r="N136" s="193" t="str">
        <f t="shared" ref="N136:N145" si="11">IF(OR($K$109="",$K$111="",L136="",$A$112=""),"",M136*($K$109-$K$111)^2/($K$109-$K$110)^2)</f>
        <v/>
      </c>
      <c r="O136" s="203" t="str">
        <f>IF(OR($K$109="",$K$111="",L136="",H136="",$A$112=""),"",N136*VLOOKUP($K$114,Data!$L$39:$M$43,2,FALSE)/H136)</f>
        <v/>
      </c>
      <c r="P136" s="204" t="str">
        <f t="shared" ref="P136:P145" si="12">IF(OR(F136="",$K$111="",L136="",$A$112=""),"",IF(F136="Barium us",1,IF(F136="Angio/DSA",2,IF(F136="Hjerte",0.2,2))))</f>
        <v/>
      </c>
      <c r="Q136" s="61" t="str">
        <f>IF(OR($K$109="",L136=""),"",IF(O136&gt;P136,"IKKE OK","OK"))</f>
        <v/>
      </c>
      <c r="R136" s="286"/>
      <c r="S136" s="61">
        <v>1</v>
      </c>
      <c r="T136" s="397"/>
      <c r="U136" s="468"/>
      <c r="V136" s="398"/>
      <c r="W136" s="90"/>
      <c r="X136" s="90"/>
      <c r="Y136" s="90"/>
      <c r="Z136" s="90"/>
      <c r="AA136" s="90"/>
      <c r="AB136" s="90"/>
      <c r="AC136" s="90"/>
      <c r="AD136" s="167"/>
      <c r="AE136" s="283" t="str">
        <f t="shared" ref="AE136:AE145" si="13">IF(OR(AD136="",$A$112=""),"",IF($A$112="ionkammer",AD136,AD136*1.4))</f>
        <v/>
      </c>
      <c r="AF136" s="283" t="str">
        <f t="shared" ref="AF136:AF145" si="14">IF(OR($K$109="",$K$111="",AD136="",$A$112=""),"",AE136*($K$109-$K$111)^2/($K$109-$K$110)^2)</f>
        <v/>
      </c>
      <c r="AG136" s="379" t="str">
        <f>IF(OR($K$109="",$K$111="",AD136="",Z136="",$A$112=""),"",AF136*VLOOKUP($K$114,Data!$L$39:$M$43,2,FALSE)/Z136)</f>
        <v/>
      </c>
      <c r="AH136" s="204" t="str">
        <f t="shared" ref="AH136:AH145" si="15">IF(OR(X136="",$K$111="",AD136="",$A$112=""),"",IF(X136="Barium us",1,IF(X136="Angio/DSA",2,IF(X136="Hjerte",0.2,2))))</f>
        <v/>
      </c>
      <c r="AI136" s="61" t="str">
        <f>IF(OR($K$109="",AD136=""),"",IF(AG136&gt;AH136,"IKKE OK","OK"))</f>
        <v/>
      </c>
    </row>
    <row r="137" spans="1:35" x14ac:dyDescent="0.3">
      <c r="A137" s="61">
        <v>2</v>
      </c>
      <c r="B137" s="397"/>
      <c r="C137" s="468"/>
      <c r="D137" s="398"/>
      <c r="E137" s="90"/>
      <c r="F137" s="90"/>
      <c r="G137" s="90"/>
      <c r="H137" s="90"/>
      <c r="I137" s="90"/>
      <c r="J137" s="90"/>
      <c r="K137" s="90"/>
      <c r="L137" s="167"/>
      <c r="M137" s="180" t="str">
        <f t="shared" si="10"/>
        <v/>
      </c>
      <c r="N137" s="193" t="str">
        <f t="shared" si="11"/>
        <v/>
      </c>
      <c r="O137" s="203" t="str">
        <f>IF(OR($K$109="",$K$111="",L137="",H137="",$A$112=""),"",N137*VLOOKUP($K$114,Data!$L$39:$M$43,2,FALSE)/H137)</f>
        <v/>
      </c>
      <c r="P137" s="204" t="str">
        <f t="shared" si="12"/>
        <v/>
      </c>
      <c r="Q137" s="61" t="str">
        <f t="shared" ref="Q137:Q145" si="16">IF(OR($K$109="",L137=""),"",IF(O137&gt;P137,"Ikke OK","OK"))</f>
        <v/>
      </c>
      <c r="R137" s="286"/>
      <c r="S137" s="61">
        <v>2</v>
      </c>
      <c r="T137" s="397"/>
      <c r="U137" s="468"/>
      <c r="V137" s="398"/>
      <c r="W137" s="90"/>
      <c r="X137" s="90"/>
      <c r="Y137" s="90"/>
      <c r="Z137" s="90"/>
      <c r="AA137" s="90"/>
      <c r="AB137" s="90"/>
      <c r="AC137" s="90"/>
      <c r="AD137" s="167"/>
      <c r="AE137" s="283" t="str">
        <f t="shared" si="13"/>
        <v/>
      </c>
      <c r="AF137" s="283" t="str">
        <f t="shared" si="14"/>
        <v/>
      </c>
      <c r="AG137" s="379" t="str">
        <f>IF(OR($K$109="",$K$111="",AD137="",Z137="",$A$112=""),"",AF137*VLOOKUP($K$114,Data!$L$39:$M$43,2,FALSE)/Z137)</f>
        <v/>
      </c>
      <c r="AH137" s="204" t="str">
        <f t="shared" si="15"/>
        <v/>
      </c>
      <c r="AI137" s="61" t="str">
        <f t="shared" ref="AI137:AI145" si="17">IF(OR($K$109="",AD137=""),"",IF(AG137&gt;AH137,"Ikke OK","OK"))</f>
        <v/>
      </c>
    </row>
    <row r="138" spans="1:35" x14ac:dyDescent="0.3">
      <c r="A138" s="61">
        <v>3</v>
      </c>
      <c r="B138" s="397"/>
      <c r="C138" s="468"/>
      <c r="D138" s="398"/>
      <c r="E138" s="90"/>
      <c r="F138" s="90"/>
      <c r="G138" s="90"/>
      <c r="H138" s="90"/>
      <c r="I138" s="90"/>
      <c r="J138" s="90"/>
      <c r="K138" s="90"/>
      <c r="L138" s="167"/>
      <c r="M138" s="180" t="str">
        <f t="shared" si="10"/>
        <v/>
      </c>
      <c r="N138" s="193" t="str">
        <f t="shared" si="11"/>
        <v/>
      </c>
      <c r="O138" s="203" t="str">
        <f>IF(OR($K$109="",$K$111="",L138="",H138="",$A$112=""),"",N138*VLOOKUP($K$114,Data!$L$39:$M$43,2,FALSE)/H138)</f>
        <v/>
      </c>
      <c r="P138" s="204" t="str">
        <f t="shared" si="12"/>
        <v/>
      </c>
      <c r="Q138" s="61" t="str">
        <f t="shared" si="16"/>
        <v/>
      </c>
      <c r="R138" s="286"/>
      <c r="S138" s="61">
        <v>3</v>
      </c>
      <c r="T138" s="397"/>
      <c r="U138" s="468"/>
      <c r="V138" s="398"/>
      <c r="W138" s="90"/>
      <c r="X138" s="90"/>
      <c r="Y138" s="90"/>
      <c r="Z138" s="90"/>
      <c r="AA138" s="90"/>
      <c r="AB138" s="90"/>
      <c r="AC138" s="90"/>
      <c r="AD138" s="167"/>
      <c r="AE138" s="283" t="str">
        <f t="shared" si="13"/>
        <v/>
      </c>
      <c r="AF138" s="283" t="str">
        <f t="shared" si="14"/>
        <v/>
      </c>
      <c r="AG138" s="379" t="str">
        <f>IF(OR($K$109="",$K$111="",AD138="",Z138="",$A$112=""),"",AF138*VLOOKUP($K$114,Data!$L$39:$M$43,2,FALSE)/Z138)</f>
        <v/>
      </c>
      <c r="AH138" s="204" t="str">
        <f t="shared" si="15"/>
        <v/>
      </c>
      <c r="AI138" s="61" t="str">
        <f t="shared" si="17"/>
        <v/>
      </c>
    </row>
    <row r="139" spans="1:35" x14ac:dyDescent="0.3">
      <c r="A139" s="61">
        <v>4</v>
      </c>
      <c r="B139" s="397"/>
      <c r="C139" s="468"/>
      <c r="D139" s="398"/>
      <c r="E139" s="90"/>
      <c r="F139" s="90"/>
      <c r="G139" s="90"/>
      <c r="H139" s="90"/>
      <c r="I139" s="90"/>
      <c r="J139" s="90"/>
      <c r="K139" s="90"/>
      <c r="L139" s="167"/>
      <c r="M139" s="180" t="str">
        <f t="shared" si="10"/>
        <v/>
      </c>
      <c r="N139" s="193" t="str">
        <f t="shared" si="11"/>
        <v/>
      </c>
      <c r="O139" s="203" t="str">
        <f>IF(OR($K$109="",$K$111="",L139="",H139="",$A$112=""),"",N139*VLOOKUP($K$114,Data!$L$39:$M$43,2,FALSE)/H139)</f>
        <v/>
      </c>
      <c r="P139" s="204" t="str">
        <f t="shared" si="12"/>
        <v/>
      </c>
      <c r="Q139" s="61" t="str">
        <f t="shared" si="16"/>
        <v/>
      </c>
      <c r="R139" s="286"/>
      <c r="S139" s="61">
        <v>4</v>
      </c>
      <c r="T139" s="397"/>
      <c r="U139" s="468"/>
      <c r="V139" s="398"/>
      <c r="W139" s="90"/>
      <c r="X139" s="90"/>
      <c r="Y139" s="90"/>
      <c r="Z139" s="90"/>
      <c r="AA139" s="90"/>
      <c r="AB139" s="90"/>
      <c r="AC139" s="90"/>
      <c r="AD139" s="167"/>
      <c r="AE139" s="283" t="str">
        <f t="shared" si="13"/>
        <v/>
      </c>
      <c r="AF139" s="283" t="str">
        <f t="shared" si="14"/>
        <v/>
      </c>
      <c r="AG139" s="379" t="str">
        <f>IF(OR($K$109="",$K$111="",AD139="",Z139="",$A$112=""),"",AF139*VLOOKUP($K$114,Data!$L$39:$M$43,2,FALSE)/Z139)</f>
        <v/>
      </c>
      <c r="AH139" s="204" t="str">
        <f t="shared" si="15"/>
        <v/>
      </c>
      <c r="AI139" s="61" t="str">
        <f t="shared" si="17"/>
        <v/>
      </c>
    </row>
    <row r="140" spans="1:35" x14ac:dyDescent="0.3">
      <c r="A140" s="61">
        <v>5</v>
      </c>
      <c r="B140" s="397"/>
      <c r="C140" s="468"/>
      <c r="D140" s="398"/>
      <c r="E140" s="90"/>
      <c r="F140" s="90"/>
      <c r="G140" s="90"/>
      <c r="H140" s="90"/>
      <c r="I140" s="90"/>
      <c r="J140" s="90"/>
      <c r="K140" s="90"/>
      <c r="L140" s="167"/>
      <c r="M140" s="180" t="str">
        <f t="shared" si="10"/>
        <v/>
      </c>
      <c r="N140" s="193" t="str">
        <f t="shared" si="11"/>
        <v/>
      </c>
      <c r="O140" s="203" t="str">
        <f>IF(OR($K$109="",$K$111="",L140="",H140="",$A$112=""),"",N140*VLOOKUP($K$114,Data!$L$39:$M$43,2,FALSE)/H140)</f>
        <v/>
      </c>
      <c r="P140" s="204" t="str">
        <f t="shared" si="12"/>
        <v/>
      </c>
      <c r="Q140" s="61" t="str">
        <f t="shared" si="16"/>
        <v/>
      </c>
      <c r="R140" s="286"/>
      <c r="S140" s="61">
        <v>5</v>
      </c>
      <c r="T140" s="397"/>
      <c r="U140" s="468"/>
      <c r="V140" s="398"/>
      <c r="W140" s="90"/>
      <c r="X140" s="90"/>
      <c r="Y140" s="90"/>
      <c r="Z140" s="90"/>
      <c r="AA140" s="90"/>
      <c r="AB140" s="90"/>
      <c r="AC140" s="90"/>
      <c r="AD140" s="167"/>
      <c r="AE140" s="283" t="str">
        <f t="shared" si="13"/>
        <v/>
      </c>
      <c r="AF140" s="283" t="str">
        <f t="shared" si="14"/>
        <v/>
      </c>
      <c r="AG140" s="379" t="str">
        <f>IF(OR($K$109="",$K$111="",AD140="",Z140="",$A$112=""),"",AF140*VLOOKUP($K$114,Data!$L$39:$M$43,2,FALSE)/Z140)</f>
        <v/>
      </c>
      <c r="AH140" s="204" t="str">
        <f t="shared" si="15"/>
        <v/>
      </c>
      <c r="AI140" s="61" t="str">
        <f t="shared" si="17"/>
        <v/>
      </c>
    </row>
    <row r="141" spans="1:35" x14ac:dyDescent="0.3">
      <c r="A141" s="61">
        <v>6</v>
      </c>
      <c r="B141" s="397"/>
      <c r="C141" s="468"/>
      <c r="D141" s="398"/>
      <c r="E141" s="90"/>
      <c r="F141" s="90"/>
      <c r="G141" s="90"/>
      <c r="H141" s="90"/>
      <c r="I141" s="90"/>
      <c r="J141" s="90"/>
      <c r="K141" s="90"/>
      <c r="L141" s="167"/>
      <c r="M141" s="180" t="str">
        <f t="shared" si="10"/>
        <v/>
      </c>
      <c r="N141" s="193" t="str">
        <f t="shared" si="11"/>
        <v/>
      </c>
      <c r="O141" s="203" t="str">
        <f>IF(OR($K$109="",$K$111="",L141="",H141="",$A$112=""),"",N141*VLOOKUP($K$114,Data!$L$39:$M$43,2,FALSE)/H141)</f>
        <v/>
      </c>
      <c r="P141" s="204" t="str">
        <f t="shared" si="12"/>
        <v/>
      </c>
      <c r="Q141" s="61" t="str">
        <f t="shared" si="16"/>
        <v/>
      </c>
      <c r="R141" s="286"/>
      <c r="S141" s="61">
        <v>6</v>
      </c>
      <c r="T141" s="397"/>
      <c r="U141" s="468"/>
      <c r="V141" s="398"/>
      <c r="W141" s="90"/>
      <c r="X141" s="90"/>
      <c r="Y141" s="90"/>
      <c r="Z141" s="90"/>
      <c r="AA141" s="90"/>
      <c r="AB141" s="90"/>
      <c r="AC141" s="90"/>
      <c r="AD141" s="167"/>
      <c r="AE141" s="283" t="str">
        <f t="shared" si="13"/>
        <v/>
      </c>
      <c r="AF141" s="283" t="str">
        <f t="shared" si="14"/>
        <v/>
      </c>
      <c r="AG141" s="379" t="str">
        <f>IF(OR($K$109="",$K$111="",AD141="",Z141="",$A$112=""),"",AF141*VLOOKUP($K$114,Data!$L$39:$M$43,2,FALSE)/Z141)</f>
        <v/>
      </c>
      <c r="AH141" s="204" t="str">
        <f t="shared" si="15"/>
        <v/>
      </c>
      <c r="AI141" s="61" t="str">
        <f t="shared" si="17"/>
        <v/>
      </c>
    </row>
    <row r="142" spans="1:35" x14ac:dyDescent="0.3">
      <c r="A142" s="61">
        <v>7</v>
      </c>
      <c r="B142" s="397"/>
      <c r="C142" s="468"/>
      <c r="D142" s="398"/>
      <c r="E142" s="90"/>
      <c r="F142" s="90"/>
      <c r="G142" s="90"/>
      <c r="H142" s="90"/>
      <c r="I142" s="90"/>
      <c r="J142" s="90"/>
      <c r="K142" s="90"/>
      <c r="L142" s="167"/>
      <c r="M142" s="180" t="str">
        <f t="shared" si="10"/>
        <v/>
      </c>
      <c r="N142" s="193" t="str">
        <f t="shared" si="11"/>
        <v/>
      </c>
      <c r="O142" s="203" t="str">
        <f>IF(OR($K$109="",$K$111="",L142="",H142="",$A$112=""),"",N142*VLOOKUP($K$114,Data!$L$39:$M$43,2,FALSE)/H142)</f>
        <v/>
      </c>
      <c r="P142" s="204" t="str">
        <f t="shared" si="12"/>
        <v/>
      </c>
      <c r="Q142" s="61" t="str">
        <f t="shared" si="16"/>
        <v/>
      </c>
      <c r="R142" s="239"/>
      <c r="S142" s="61">
        <v>7</v>
      </c>
      <c r="T142" s="397"/>
      <c r="U142" s="468"/>
      <c r="V142" s="398"/>
      <c r="W142" s="90"/>
      <c r="X142" s="90"/>
      <c r="Y142" s="90"/>
      <c r="Z142" s="90"/>
      <c r="AA142" s="90"/>
      <c r="AB142" s="90"/>
      <c r="AC142" s="90"/>
      <c r="AD142" s="167"/>
      <c r="AE142" s="283" t="str">
        <f t="shared" si="13"/>
        <v/>
      </c>
      <c r="AF142" s="283" t="str">
        <f t="shared" si="14"/>
        <v/>
      </c>
      <c r="AG142" s="379" t="str">
        <f>IF(OR($K$109="",$K$111="",AD142="",Z142="",$A$112=""),"",AF142*VLOOKUP($K$114,Data!$L$39:$M$43,2,FALSE)/Z142)</f>
        <v/>
      </c>
      <c r="AH142" s="204" t="str">
        <f t="shared" si="15"/>
        <v/>
      </c>
      <c r="AI142" s="61" t="str">
        <f t="shared" si="17"/>
        <v/>
      </c>
    </row>
    <row r="143" spans="1:35" x14ac:dyDescent="0.3">
      <c r="A143" s="61">
        <v>8</v>
      </c>
      <c r="B143" s="397"/>
      <c r="C143" s="468"/>
      <c r="D143" s="398"/>
      <c r="E143" s="90"/>
      <c r="F143" s="90"/>
      <c r="G143" s="90"/>
      <c r="H143" s="90"/>
      <c r="I143" s="90"/>
      <c r="J143" s="90"/>
      <c r="K143" s="90"/>
      <c r="L143" s="167"/>
      <c r="M143" s="180" t="str">
        <f t="shared" si="10"/>
        <v/>
      </c>
      <c r="N143" s="193" t="str">
        <f t="shared" si="11"/>
        <v/>
      </c>
      <c r="O143" s="203" t="str">
        <f>IF(OR($K$109="",$K$111="",L143="",H143="",$A$112=""),"",N143*VLOOKUP($K$114,Data!$L$39:$M$43,2,FALSE)/H143)</f>
        <v/>
      </c>
      <c r="P143" s="204" t="str">
        <f t="shared" si="12"/>
        <v/>
      </c>
      <c r="Q143" s="61" t="str">
        <f t="shared" si="16"/>
        <v/>
      </c>
      <c r="R143" s="239"/>
      <c r="S143" s="61">
        <v>8</v>
      </c>
      <c r="T143" s="397"/>
      <c r="U143" s="468"/>
      <c r="V143" s="398"/>
      <c r="W143" s="90"/>
      <c r="X143" s="90"/>
      <c r="Y143" s="90"/>
      <c r="Z143" s="90"/>
      <c r="AA143" s="90"/>
      <c r="AB143" s="90"/>
      <c r="AC143" s="90"/>
      <c r="AD143" s="167"/>
      <c r="AE143" s="283" t="str">
        <f t="shared" si="13"/>
        <v/>
      </c>
      <c r="AF143" s="283" t="str">
        <f t="shared" si="14"/>
        <v/>
      </c>
      <c r="AG143" s="379" t="str">
        <f>IF(OR($K$109="",$K$111="",AD143="",Z143="",$A$112=""),"",AF143*VLOOKUP($K$114,Data!$L$39:$M$43,2,FALSE)/Z143)</f>
        <v/>
      </c>
      <c r="AH143" s="204" t="str">
        <f t="shared" si="15"/>
        <v/>
      </c>
      <c r="AI143" s="61" t="str">
        <f t="shared" si="17"/>
        <v/>
      </c>
    </row>
    <row r="144" spans="1:35" x14ac:dyDescent="0.3">
      <c r="A144" s="61">
        <v>9</v>
      </c>
      <c r="B144" s="397"/>
      <c r="C144" s="468"/>
      <c r="D144" s="398"/>
      <c r="E144" s="90"/>
      <c r="F144" s="90"/>
      <c r="G144" s="90"/>
      <c r="H144" s="90"/>
      <c r="I144" s="90"/>
      <c r="J144" s="90"/>
      <c r="K144" s="90"/>
      <c r="L144" s="167"/>
      <c r="M144" s="180" t="str">
        <f t="shared" si="10"/>
        <v/>
      </c>
      <c r="N144" s="193" t="str">
        <f t="shared" si="11"/>
        <v/>
      </c>
      <c r="O144" s="203" t="str">
        <f>IF(OR($K$109="",$K$111="",L144="",H144="",$A$112=""),"",N144*VLOOKUP($K$114,Data!$L$39:$M$43,2,FALSE)/H144)</f>
        <v/>
      </c>
      <c r="P144" s="204" t="str">
        <f t="shared" si="12"/>
        <v/>
      </c>
      <c r="Q144" s="61" t="str">
        <f t="shared" si="16"/>
        <v/>
      </c>
      <c r="R144" s="239"/>
      <c r="S144" s="61">
        <v>9</v>
      </c>
      <c r="T144" s="397"/>
      <c r="U144" s="468"/>
      <c r="V144" s="398"/>
      <c r="W144" s="90"/>
      <c r="X144" s="90"/>
      <c r="Y144" s="90"/>
      <c r="Z144" s="90"/>
      <c r="AA144" s="90"/>
      <c r="AB144" s="90"/>
      <c r="AC144" s="90"/>
      <c r="AD144" s="167"/>
      <c r="AE144" s="283" t="str">
        <f t="shared" si="13"/>
        <v/>
      </c>
      <c r="AF144" s="283" t="str">
        <f t="shared" si="14"/>
        <v/>
      </c>
      <c r="AG144" s="379" t="str">
        <f>IF(OR($K$109="",$K$111="",AD144="",Z144="",$A$112=""),"",AF144*VLOOKUP($K$114,Data!$L$39:$M$43,2,FALSE)/Z144)</f>
        <v/>
      </c>
      <c r="AH144" s="204" t="str">
        <f t="shared" si="15"/>
        <v/>
      </c>
      <c r="AI144" s="61" t="str">
        <f t="shared" si="17"/>
        <v/>
      </c>
    </row>
    <row r="145" spans="1:35" x14ac:dyDescent="0.3">
      <c r="A145" s="61">
        <v>10</v>
      </c>
      <c r="B145" s="397"/>
      <c r="C145" s="468"/>
      <c r="D145" s="398"/>
      <c r="E145" s="90"/>
      <c r="F145" s="90"/>
      <c r="G145" s="90"/>
      <c r="H145" s="90"/>
      <c r="I145" s="90"/>
      <c r="J145" s="90"/>
      <c r="K145" s="90"/>
      <c r="L145" s="167"/>
      <c r="M145" s="180" t="str">
        <f t="shared" si="10"/>
        <v/>
      </c>
      <c r="N145" s="193" t="str">
        <f t="shared" si="11"/>
        <v/>
      </c>
      <c r="O145" s="203" t="str">
        <f>IF(OR($K$109="",$K$111="",L145="",H145="",$A$112=""),"",N145*VLOOKUP($K$114,Data!$L$39:$M$43,2,FALSE)/H145)</f>
        <v/>
      </c>
      <c r="P145" s="204" t="str">
        <f t="shared" si="12"/>
        <v/>
      </c>
      <c r="Q145" s="61" t="str">
        <f t="shared" si="16"/>
        <v/>
      </c>
      <c r="R145" s="239"/>
      <c r="S145" s="61">
        <v>10</v>
      </c>
      <c r="T145" s="397"/>
      <c r="U145" s="468"/>
      <c r="V145" s="398"/>
      <c r="W145" s="90"/>
      <c r="X145" s="90"/>
      <c r="Y145" s="90"/>
      <c r="Z145" s="90"/>
      <c r="AA145" s="90"/>
      <c r="AB145" s="90"/>
      <c r="AC145" s="90"/>
      <c r="AD145" s="167"/>
      <c r="AE145" s="283" t="str">
        <f t="shared" si="13"/>
        <v/>
      </c>
      <c r="AF145" s="283" t="str">
        <f t="shared" si="14"/>
        <v/>
      </c>
      <c r="AG145" s="379" t="str">
        <f>IF(OR($K$109="",$K$111="",AD145="",Z145="",$A$112=""),"",AF145*VLOOKUP($K$114,Data!$L$39:$M$43,2,FALSE)/Z145)</f>
        <v/>
      </c>
      <c r="AH145" s="204" t="str">
        <f t="shared" si="15"/>
        <v/>
      </c>
      <c r="AI145" s="61" t="str">
        <f t="shared" si="17"/>
        <v/>
      </c>
    </row>
    <row r="149" spans="1:35" ht="18" x14ac:dyDescent="0.35">
      <c r="A149" s="72" t="s">
        <v>561</v>
      </c>
      <c r="B149" s="71"/>
      <c r="C149" s="71"/>
      <c r="D149" s="71"/>
      <c r="E149" s="71"/>
      <c r="F149" s="71"/>
      <c r="G149" s="71"/>
      <c r="H149" s="71"/>
      <c r="I149" s="135" t="s">
        <v>471</v>
      </c>
      <c r="J149" s="71"/>
      <c r="K149" s="71"/>
      <c r="L149" s="71"/>
      <c r="M149" s="71"/>
      <c r="N149" s="71"/>
      <c r="O149" s="71"/>
      <c r="P149" s="71"/>
      <c r="Q149" s="71"/>
      <c r="R149" s="54"/>
      <c r="S149" s="54"/>
      <c r="T149" s="54"/>
    </row>
    <row r="150" spans="1:35" x14ac:dyDescent="0.3">
      <c r="R150" s="54"/>
      <c r="S150" s="54"/>
      <c r="T150" s="54"/>
    </row>
    <row r="151" spans="1:35" x14ac:dyDescent="0.3">
      <c r="A151" s="49" t="s">
        <v>160</v>
      </c>
      <c r="B151" s="50"/>
      <c r="C151" s="50"/>
      <c r="D151" s="50"/>
      <c r="E151" s="50"/>
      <c r="F151" s="50"/>
      <c r="G151" s="50"/>
      <c r="H151" s="50"/>
      <c r="I151" s="50"/>
      <c r="J151" s="50"/>
      <c r="K151" s="50"/>
      <c r="L151" s="50"/>
      <c r="M151" s="50"/>
      <c r="N151" s="73" t="s">
        <v>96</v>
      </c>
      <c r="O151" s="50"/>
      <c r="P151" s="73"/>
      <c r="Q151" s="50"/>
      <c r="R151" s="54"/>
      <c r="S151" s="54"/>
      <c r="T151" s="54"/>
    </row>
    <row r="152" spans="1:35" x14ac:dyDescent="0.3">
      <c r="A152" s="51" t="s">
        <v>44</v>
      </c>
      <c r="B152" s="52" t="s">
        <v>72</v>
      </c>
      <c r="C152" s="52"/>
      <c r="D152" s="52"/>
      <c r="E152" s="52"/>
      <c r="F152" s="52"/>
      <c r="G152" s="52"/>
      <c r="H152" s="52"/>
      <c r="I152" s="52"/>
      <c r="J152" s="52"/>
      <c r="K152" s="52"/>
      <c r="L152" s="52"/>
      <c r="M152" s="52"/>
      <c r="N152" s="432"/>
      <c r="O152" s="433"/>
      <c r="P152" s="433"/>
      <c r="Q152" s="434"/>
      <c r="R152" s="54"/>
      <c r="S152" s="54"/>
      <c r="T152" s="54"/>
    </row>
    <row r="153" spans="1:35" x14ac:dyDescent="0.3">
      <c r="A153" s="44" t="s">
        <v>45</v>
      </c>
      <c r="B153" s="54" t="s">
        <v>691</v>
      </c>
      <c r="C153" s="54"/>
      <c r="D153" s="54"/>
      <c r="E153" s="54"/>
      <c r="F153" s="54"/>
      <c r="G153" s="54"/>
      <c r="H153" s="54"/>
      <c r="I153" s="54"/>
      <c r="J153" s="54"/>
      <c r="K153" s="54"/>
      <c r="L153" s="54"/>
      <c r="M153" s="54"/>
      <c r="N153" s="435"/>
      <c r="O153" s="436"/>
      <c r="P153" s="436"/>
      <c r="Q153" s="437"/>
      <c r="R153" s="54"/>
      <c r="S153" s="54"/>
      <c r="T153" s="54"/>
    </row>
    <row r="154" spans="1:35" x14ac:dyDescent="0.3">
      <c r="A154" s="53"/>
      <c r="B154" s="54" t="s">
        <v>692</v>
      </c>
      <c r="C154" s="54"/>
      <c r="D154" s="54"/>
      <c r="E154" s="54"/>
      <c r="F154" s="54"/>
      <c r="G154" s="54"/>
      <c r="H154" s="54"/>
      <c r="I154" s="54"/>
      <c r="J154" s="54"/>
      <c r="K154" s="54"/>
      <c r="L154" s="54"/>
      <c r="M154" s="54"/>
      <c r="N154" s="435"/>
      <c r="O154" s="436"/>
      <c r="P154" s="436"/>
      <c r="Q154" s="437"/>
      <c r="R154" s="54"/>
      <c r="S154" s="54"/>
      <c r="T154" s="54"/>
    </row>
    <row r="155" spans="1:35" x14ac:dyDescent="0.3">
      <c r="A155" s="53" t="s">
        <v>46</v>
      </c>
      <c r="B155" s="54" t="s">
        <v>695</v>
      </c>
      <c r="C155" s="54"/>
      <c r="D155" s="54"/>
      <c r="E155" s="54"/>
      <c r="F155" s="54"/>
      <c r="G155" s="54"/>
      <c r="H155" s="54"/>
      <c r="I155" s="54"/>
      <c r="J155" s="54"/>
      <c r="K155" s="54"/>
      <c r="L155" s="54"/>
      <c r="M155" s="54"/>
      <c r="N155" s="435"/>
      <c r="O155" s="436"/>
      <c r="P155" s="436"/>
      <c r="Q155" s="437"/>
      <c r="R155" s="54"/>
      <c r="S155" s="54"/>
      <c r="T155" s="54"/>
    </row>
    <row r="156" spans="1:35" x14ac:dyDescent="0.3">
      <c r="A156" s="53"/>
      <c r="B156" s="184" t="s">
        <v>696</v>
      </c>
      <c r="C156" s="54"/>
      <c r="D156" s="54"/>
      <c r="E156" s="54"/>
      <c r="F156" s="54"/>
      <c r="G156" s="54"/>
      <c r="H156" s="54"/>
      <c r="I156" s="54"/>
      <c r="J156" s="54"/>
      <c r="K156" s="54"/>
      <c r="L156" s="54"/>
      <c r="M156" s="54"/>
      <c r="N156" s="435"/>
      <c r="O156" s="436"/>
      <c r="P156" s="436"/>
      <c r="Q156" s="437"/>
      <c r="R156" s="54"/>
      <c r="S156" s="54"/>
      <c r="T156" s="54"/>
    </row>
    <row r="157" spans="1:35" x14ac:dyDescent="0.3">
      <c r="A157" s="53"/>
      <c r="B157" s="54" t="s">
        <v>693</v>
      </c>
      <c r="C157" s="54"/>
      <c r="D157" s="54"/>
      <c r="E157" s="54"/>
      <c r="F157" s="54"/>
      <c r="G157" s="54"/>
      <c r="H157" s="54"/>
      <c r="I157" s="54"/>
      <c r="J157" s="54"/>
      <c r="K157" s="54"/>
      <c r="L157" s="54"/>
      <c r="M157" s="54"/>
      <c r="N157" s="435"/>
      <c r="O157" s="436"/>
      <c r="P157" s="436"/>
      <c r="Q157" s="437"/>
      <c r="R157" s="54"/>
      <c r="S157" s="54"/>
      <c r="T157" s="54"/>
    </row>
    <row r="158" spans="1:35" x14ac:dyDescent="0.3">
      <c r="A158" s="53"/>
      <c r="B158" s="184" t="s">
        <v>704</v>
      </c>
      <c r="C158" s="54"/>
      <c r="D158" s="54"/>
      <c r="E158" s="54"/>
      <c r="F158" s="54"/>
      <c r="G158" s="54"/>
      <c r="H158" s="54"/>
      <c r="I158" s="54"/>
      <c r="J158" s="54"/>
      <c r="K158" s="54"/>
      <c r="L158" s="54"/>
      <c r="M158" s="54"/>
      <c r="N158" s="435"/>
      <c r="O158" s="436"/>
      <c r="P158" s="436"/>
      <c r="Q158" s="437"/>
      <c r="R158" s="54"/>
      <c r="S158" s="54"/>
      <c r="T158" s="54"/>
    </row>
    <row r="159" spans="1:35" x14ac:dyDescent="0.3">
      <c r="A159" s="53"/>
      <c r="B159" s="54" t="s">
        <v>697</v>
      </c>
      <c r="C159" s="54"/>
      <c r="D159" s="54"/>
      <c r="E159" s="54"/>
      <c r="F159" s="54"/>
      <c r="G159" s="54"/>
      <c r="H159" s="54"/>
      <c r="I159" s="54"/>
      <c r="J159" s="54"/>
      <c r="K159" s="54"/>
      <c r="L159" s="54"/>
      <c r="M159" s="54"/>
      <c r="N159" s="435"/>
      <c r="O159" s="436"/>
      <c r="P159" s="436"/>
      <c r="Q159" s="437"/>
      <c r="R159" s="54"/>
      <c r="S159" s="54"/>
      <c r="T159" s="54"/>
    </row>
    <row r="160" spans="1:35" x14ac:dyDescent="0.3">
      <c r="A160" s="53"/>
      <c r="B160" s="54" t="s">
        <v>526</v>
      </c>
      <c r="C160" s="54"/>
      <c r="D160" s="54"/>
      <c r="E160" s="54"/>
      <c r="F160" s="54"/>
      <c r="G160" s="54"/>
      <c r="H160" s="54"/>
      <c r="I160" s="54"/>
      <c r="J160" s="54"/>
      <c r="K160" s="54"/>
      <c r="L160" s="54"/>
      <c r="M160" s="54"/>
      <c r="N160" s="435"/>
      <c r="O160" s="436"/>
      <c r="P160" s="436"/>
      <c r="Q160" s="437"/>
      <c r="R160" s="54"/>
      <c r="S160" s="54"/>
      <c r="T160" s="54"/>
    </row>
    <row r="161" spans="1:20" x14ac:dyDescent="0.3">
      <c r="A161" s="53"/>
      <c r="B161" s="54" t="s">
        <v>527</v>
      </c>
      <c r="C161" s="54"/>
      <c r="D161" s="54"/>
      <c r="E161" s="54"/>
      <c r="F161" s="54"/>
      <c r="G161" s="54"/>
      <c r="H161" s="54"/>
      <c r="I161" s="54"/>
      <c r="J161" s="54"/>
      <c r="K161" s="54"/>
      <c r="L161" s="54"/>
      <c r="M161" s="54"/>
      <c r="N161" s="435"/>
      <c r="O161" s="436"/>
      <c r="P161" s="436"/>
      <c r="Q161" s="437"/>
      <c r="R161" s="54"/>
      <c r="S161" s="54"/>
      <c r="T161" s="54"/>
    </row>
    <row r="162" spans="1:20" x14ac:dyDescent="0.3">
      <c r="A162" s="53"/>
      <c r="B162" s="54" t="s">
        <v>698</v>
      </c>
      <c r="C162" s="54"/>
      <c r="D162" s="54"/>
      <c r="E162" s="54"/>
      <c r="F162" s="54"/>
      <c r="G162" s="54"/>
      <c r="H162" s="54"/>
      <c r="I162" s="54"/>
      <c r="J162" s="54"/>
      <c r="K162" s="54"/>
      <c r="L162" s="54"/>
      <c r="M162" s="54"/>
      <c r="N162" s="435"/>
      <c r="O162" s="436"/>
      <c r="P162" s="436"/>
      <c r="Q162" s="437"/>
      <c r="R162" s="54"/>
      <c r="S162" s="54"/>
      <c r="T162" s="54"/>
    </row>
    <row r="163" spans="1:20" x14ac:dyDescent="0.3">
      <c r="A163" s="53"/>
      <c r="B163" s="54" t="s">
        <v>699</v>
      </c>
      <c r="C163" s="54"/>
      <c r="D163" s="54"/>
      <c r="E163" s="54"/>
      <c r="F163" s="54"/>
      <c r="G163" s="54"/>
      <c r="H163" s="54"/>
      <c r="I163" s="54"/>
      <c r="J163" s="54"/>
      <c r="K163" s="54"/>
      <c r="L163" s="54"/>
      <c r="M163" s="54"/>
      <c r="N163" s="435"/>
      <c r="O163" s="436"/>
      <c r="P163" s="436"/>
      <c r="Q163" s="437"/>
      <c r="R163" s="54"/>
      <c r="S163" s="54"/>
      <c r="T163" s="54"/>
    </row>
    <row r="164" spans="1:20" x14ac:dyDescent="0.3">
      <c r="A164" s="53"/>
      <c r="B164" s="54" t="s">
        <v>528</v>
      </c>
      <c r="C164" s="54"/>
      <c r="D164" s="54"/>
      <c r="E164" s="54"/>
      <c r="F164" s="54"/>
      <c r="G164" s="54"/>
      <c r="H164" s="54"/>
      <c r="I164" s="54"/>
      <c r="J164" s="54"/>
      <c r="K164" s="54"/>
      <c r="L164" s="54"/>
      <c r="M164" s="54"/>
      <c r="N164" s="435"/>
      <c r="O164" s="436"/>
      <c r="P164" s="436"/>
      <c r="Q164" s="437"/>
      <c r="R164" s="54"/>
      <c r="S164" s="54"/>
      <c r="T164" s="54"/>
    </row>
    <row r="165" spans="1:20" x14ac:dyDescent="0.3">
      <c r="A165" s="53"/>
      <c r="B165" s="54" t="s">
        <v>700</v>
      </c>
      <c r="C165" s="54"/>
      <c r="D165" s="54"/>
      <c r="E165" s="54"/>
      <c r="F165" s="54"/>
      <c r="G165" s="54"/>
      <c r="H165" s="54"/>
      <c r="I165" s="54"/>
      <c r="J165" s="54"/>
      <c r="K165" s="54"/>
      <c r="L165" s="54"/>
      <c r="M165" s="54"/>
      <c r="N165" s="435"/>
      <c r="O165" s="436"/>
      <c r="P165" s="436"/>
      <c r="Q165" s="437"/>
      <c r="R165" s="54"/>
      <c r="S165" s="54"/>
      <c r="T165" s="54"/>
    </row>
    <row r="166" spans="1:20" x14ac:dyDescent="0.3">
      <c r="A166" s="53"/>
      <c r="B166" s="184" t="s">
        <v>701</v>
      </c>
      <c r="C166" s="54"/>
      <c r="D166" s="54"/>
      <c r="E166" s="54"/>
      <c r="F166" s="54"/>
      <c r="G166" s="54"/>
      <c r="H166" s="54"/>
      <c r="I166" s="54"/>
      <c r="J166" s="54"/>
      <c r="K166" s="54"/>
      <c r="L166" s="54"/>
      <c r="M166" s="54"/>
      <c r="N166" s="435"/>
      <c r="O166" s="436"/>
      <c r="P166" s="436"/>
      <c r="Q166" s="437"/>
      <c r="R166" s="54"/>
      <c r="S166" s="54"/>
      <c r="T166" s="54"/>
    </row>
    <row r="167" spans="1:20" x14ac:dyDescent="0.3">
      <c r="A167" s="53"/>
      <c r="B167" s="54" t="s">
        <v>702</v>
      </c>
      <c r="C167" s="54"/>
      <c r="D167" s="54"/>
      <c r="E167" s="54"/>
      <c r="F167" s="54"/>
      <c r="G167" s="54"/>
      <c r="H167" s="54"/>
      <c r="I167" s="54"/>
      <c r="J167" s="54"/>
      <c r="K167" s="54"/>
      <c r="L167" s="54"/>
      <c r="M167" s="54"/>
      <c r="N167" s="435"/>
      <c r="O167" s="436"/>
      <c r="P167" s="436"/>
      <c r="Q167" s="437"/>
      <c r="R167" s="54"/>
      <c r="S167" s="54"/>
      <c r="T167" s="54"/>
    </row>
    <row r="168" spans="1:20" x14ac:dyDescent="0.3">
      <c r="A168" s="53"/>
      <c r="B168" s="54" t="s">
        <v>694</v>
      </c>
      <c r="C168" s="54"/>
      <c r="D168" s="54"/>
      <c r="E168" s="54"/>
      <c r="F168" s="54"/>
      <c r="G168" s="54"/>
      <c r="H168" s="54"/>
      <c r="I168" s="54"/>
      <c r="J168" s="54"/>
      <c r="K168" s="54"/>
      <c r="L168" s="54"/>
      <c r="M168" s="54"/>
      <c r="N168" s="435"/>
      <c r="O168" s="436"/>
      <c r="P168" s="436"/>
      <c r="Q168" s="437"/>
      <c r="R168" s="54"/>
      <c r="S168" s="54"/>
      <c r="T168" s="54"/>
    </row>
    <row r="169" spans="1:20" x14ac:dyDescent="0.3">
      <c r="A169" s="53"/>
      <c r="B169" s="184" t="s">
        <v>703</v>
      </c>
      <c r="C169" s="54"/>
      <c r="D169" s="54"/>
      <c r="E169" s="54"/>
      <c r="F169" s="54"/>
      <c r="G169" s="54"/>
      <c r="H169" s="54"/>
      <c r="I169" s="54"/>
      <c r="J169" s="54"/>
      <c r="K169" s="54"/>
      <c r="L169" s="54"/>
      <c r="M169" s="54"/>
      <c r="N169" s="435"/>
      <c r="O169" s="436"/>
      <c r="P169" s="436"/>
      <c r="Q169" s="437"/>
      <c r="R169" s="54"/>
      <c r="S169" s="54"/>
      <c r="T169" s="54"/>
    </row>
    <row r="170" spans="1:20" x14ac:dyDescent="0.3">
      <c r="A170" s="53"/>
      <c r="B170" s="184" t="s">
        <v>705</v>
      </c>
      <c r="C170" s="54"/>
      <c r="D170" s="54"/>
      <c r="E170" s="54"/>
      <c r="F170" s="54"/>
      <c r="G170" s="54"/>
      <c r="H170" s="54"/>
      <c r="I170" s="54"/>
      <c r="J170" s="54"/>
      <c r="K170" s="54"/>
      <c r="L170" s="54"/>
      <c r="M170" s="54"/>
      <c r="N170" s="435"/>
      <c r="O170" s="436"/>
      <c r="P170" s="436"/>
      <c r="Q170" s="437"/>
      <c r="R170" s="54"/>
      <c r="S170" s="54"/>
      <c r="T170" s="54"/>
    </row>
    <row r="171" spans="1:20" x14ac:dyDescent="0.3">
      <c r="A171" s="53" t="s">
        <v>47</v>
      </c>
      <c r="B171" s="54" t="s">
        <v>706</v>
      </c>
      <c r="C171" s="54"/>
      <c r="D171" s="54"/>
      <c r="E171" s="54"/>
      <c r="F171" s="54"/>
      <c r="G171" s="54"/>
      <c r="H171" s="54"/>
      <c r="I171" s="54"/>
      <c r="J171" s="54"/>
      <c r="K171" s="54"/>
      <c r="L171" s="54"/>
      <c r="M171" s="54"/>
      <c r="N171" s="435"/>
      <c r="O171" s="436"/>
      <c r="P171" s="436"/>
      <c r="Q171" s="437"/>
      <c r="R171" s="54"/>
      <c r="S171" s="54"/>
      <c r="T171" s="54"/>
    </row>
    <row r="172" spans="1:20" x14ac:dyDescent="0.3">
      <c r="A172" s="53"/>
      <c r="B172" s="54" t="s">
        <v>514</v>
      </c>
      <c r="C172" s="54"/>
      <c r="D172" s="54"/>
      <c r="E172" s="54"/>
      <c r="F172" s="54"/>
      <c r="G172" s="54"/>
      <c r="H172" s="54"/>
      <c r="I172" s="54"/>
      <c r="J172" s="54"/>
      <c r="K172" s="54"/>
      <c r="L172" s="54"/>
      <c r="M172" s="54"/>
      <c r="N172" s="435"/>
      <c r="O172" s="436"/>
      <c r="P172" s="436"/>
      <c r="Q172" s="437"/>
      <c r="R172" s="54"/>
      <c r="S172" s="54"/>
      <c r="T172" s="54"/>
    </row>
    <row r="173" spans="1:20" x14ac:dyDescent="0.3">
      <c r="A173" s="55"/>
      <c r="B173" s="79"/>
      <c r="C173" s="77"/>
      <c r="D173" s="77"/>
      <c r="E173" s="77"/>
      <c r="F173" s="77"/>
      <c r="G173" s="77"/>
      <c r="H173" s="77"/>
      <c r="I173" s="77"/>
      <c r="J173" s="77"/>
      <c r="K173" s="77"/>
      <c r="L173" s="77"/>
      <c r="M173" s="77"/>
      <c r="N173" s="429"/>
      <c r="O173" s="430"/>
      <c r="P173" s="430"/>
      <c r="Q173" s="431"/>
      <c r="R173" s="54"/>
      <c r="S173" s="54"/>
      <c r="T173" s="54"/>
    </row>
    <row r="174" spans="1:20" x14ac:dyDescent="0.3">
      <c r="A174" s="20"/>
      <c r="B174" s="74"/>
      <c r="C174" s="54"/>
      <c r="D174" s="54"/>
      <c r="E174" s="54"/>
      <c r="F174" s="54"/>
      <c r="G174" s="54"/>
      <c r="H174" s="54"/>
      <c r="I174" s="54"/>
      <c r="J174" s="54"/>
      <c r="K174" s="54"/>
      <c r="L174" s="54"/>
      <c r="M174" s="54"/>
      <c r="N174" s="54"/>
      <c r="O174" s="54"/>
      <c r="P174" s="54"/>
      <c r="Q174" s="54"/>
      <c r="R174" s="54"/>
      <c r="S174" s="54"/>
      <c r="T174" s="54"/>
    </row>
    <row r="175" spans="1:20" x14ac:dyDescent="0.3">
      <c r="A175" s="56" t="s">
        <v>161</v>
      </c>
      <c r="B175" s="57"/>
      <c r="C175" s="57"/>
      <c r="D175" s="57"/>
      <c r="E175" s="57"/>
      <c r="F175" s="57"/>
      <c r="G175" s="57"/>
      <c r="H175" s="57"/>
      <c r="I175" s="57"/>
      <c r="J175" s="57"/>
      <c r="K175" s="57"/>
      <c r="L175" s="57"/>
      <c r="M175" s="57"/>
      <c r="N175" s="57"/>
      <c r="O175" s="57"/>
      <c r="P175" s="57"/>
      <c r="Q175" s="57"/>
      <c r="R175" s="54"/>
      <c r="S175" s="54"/>
      <c r="T175" s="54"/>
    </row>
    <row r="176" spans="1:20" x14ac:dyDescent="0.3">
      <c r="R176" s="54"/>
      <c r="S176" s="54"/>
      <c r="T176" s="54"/>
    </row>
    <row r="177" spans="1:37" x14ac:dyDescent="0.3">
      <c r="A177" s="293" t="s">
        <v>570</v>
      </c>
      <c r="B177" s="293"/>
      <c r="C177" s="293"/>
      <c r="D177" s="293"/>
      <c r="E177" s="293"/>
      <c r="F177" s="293"/>
      <c r="G177" s="293"/>
      <c r="H177" s="293"/>
      <c r="I177" s="293"/>
      <c r="J177" s="293"/>
      <c r="K177" s="293"/>
      <c r="L177" s="293"/>
      <c r="M177" s="293"/>
      <c r="N177" s="293"/>
      <c r="O177" s="293"/>
      <c r="P177" s="294"/>
      <c r="Q177" s="294"/>
      <c r="R177" s="26"/>
      <c r="S177" s="26"/>
      <c r="T177" s="26"/>
    </row>
    <row r="178" spans="1:37" x14ac:dyDescent="0.3">
      <c r="R178" s="54"/>
      <c r="S178" s="54"/>
      <c r="T178" s="54"/>
    </row>
    <row r="179" spans="1:37" x14ac:dyDescent="0.3">
      <c r="A179" s="133" t="str">
        <f>IF(Oplysningsside!$B$15="",1,Oplysningsside!$B$15)</f>
        <v>C bue</v>
      </c>
      <c r="B179" s="289" t="s">
        <v>484</v>
      </c>
      <c r="C179" s="234"/>
      <c r="D179" s="234"/>
      <c r="E179" s="234"/>
      <c r="F179" s="234"/>
      <c r="G179" s="234"/>
      <c r="H179" s="234"/>
      <c r="I179" s="234"/>
      <c r="J179" s="295"/>
      <c r="K179" s="110"/>
      <c r="L179" s="249" t="s">
        <v>723</v>
      </c>
      <c r="M179" s="234"/>
      <c r="N179" s="234"/>
      <c r="O179" s="234"/>
      <c r="P179" s="234"/>
      <c r="Q179" s="234"/>
      <c r="R179" s="295"/>
      <c r="S179" s="54"/>
      <c r="T179" s="54"/>
    </row>
    <row r="180" spans="1:37" x14ac:dyDescent="0.3">
      <c r="A180" s="114"/>
      <c r="B180" s="258" t="s">
        <v>125</v>
      </c>
      <c r="C180" s="233"/>
      <c r="D180" s="233"/>
      <c r="E180" s="233"/>
      <c r="F180" s="233"/>
      <c r="G180" s="233"/>
      <c r="H180" s="233"/>
      <c r="I180" s="233"/>
      <c r="J180" s="246"/>
      <c r="K180" s="241">
        <f>IF($A$179="","",IF($A$179="Mini C bue",5,30))</f>
        <v>30</v>
      </c>
      <c r="L180" s="54" t="s">
        <v>126</v>
      </c>
      <c r="M180" s="233"/>
      <c r="N180" s="233"/>
      <c r="O180" s="233"/>
      <c r="P180" s="233"/>
      <c r="Q180" s="54"/>
      <c r="R180" s="87"/>
      <c r="S180" s="54"/>
      <c r="T180" s="54"/>
      <c r="U180" s="54"/>
    </row>
    <row r="181" spans="1:37" x14ac:dyDescent="0.3">
      <c r="A181" s="114"/>
      <c r="B181" s="258" t="s">
        <v>465</v>
      </c>
      <c r="C181" s="233"/>
      <c r="D181" s="233"/>
      <c r="E181" s="233"/>
      <c r="F181" s="233"/>
      <c r="G181" s="233"/>
      <c r="H181" s="233"/>
      <c r="I181" s="233"/>
      <c r="J181" s="246"/>
      <c r="K181" s="114"/>
      <c r="L181" s="258" t="s">
        <v>724</v>
      </c>
      <c r="M181" s="233"/>
      <c r="N181" s="233"/>
      <c r="O181" s="233"/>
      <c r="P181" s="233"/>
      <c r="Q181" s="54"/>
      <c r="R181" s="87"/>
      <c r="S181" s="54"/>
      <c r="T181" s="54"/>
      <c r="U181" s="54"/>
    </row>
    <row r="182" spans="1:37" x14ac:dyDescent="0.3">
      <c r="A182" s="114"/>
      <c r="B182" s="258" t="s">
        <v>154</v>
      </c>
      <c r="C182" s="233"/>
      <c r="D182" s="233"/>
      <c r="E182" s="233"/>
      <c r="F182" s="233"/>
      <c r="G182" s="233"/>
      <c r="H182" s="233"/>
      <c r="I182" s="233"/>
      <c r="J182" s="246"/>
      <c r="K182" s="114"/>
      <c r="L182" s="54" t="s">
        <v>729</v>
      </c>
      <c r="M182" s="54"/>
      <c r="N182" s="54"/>
      <c r="O182" s="54"/>
      <c r="P182" s="54"/>
      <c r="Q182" s="54"/>
      <c r="R182" s="87"/>
      <c r="S182" s="54"/>
      <c r="T182" s="54"/>
      <c r="U182" s="54"/>
    </row>
    <row r="183" spans="1:37" x14ac:dyDescent="0.3">
      <c r="A183" s="114"/>
      <c r="B183" s="265" t="s">
        <v>206</v>
      </c>
      <c r="C183" s="233"/>
      <c r="D183" s="233"/>
      <c r="H183" s="233"/>
      <c r="I183" s="233"/>
      <c r="J183" s="246"/>
      <c r="K183" s="242" t="s">
        <v>720</v>
      </c>
      <c r="L183" s="26" t="s">
        <v>725</v>
      </c>
      <c r="O183" s="233"/>
      <c r="P183" s="233"/>
      <c r="Q183" s="54"/>
      <c r="R183" s="87"/>
      <c r="S183" s="54"/>
      <c r="T183" s="54"/>
      <c r="U183" s="54"/>
    </row>
    <row r="184" spans="1:37" x14ac:dyDescent="0.3">
      <c r="A184" s="114"/>
      <c r="B184" s="290" t="s">
        <v>419</v>
      </c>
      <c r="C184" s="233"/>
      <c r="D184" s="233"/>
      <c r="H184" s="233"/>
      <c r="I184" s="233"/>
      <c r="J184" s="246"/>
      <c r="K184" s="114"/>
      <c r="L184" s="266" t="s">
        <v>422</v>
      </c>
      <c r="M184" s="233"/>
      <c r="N184" s="233"/>
      <c r="O184" s="233"/>
      <c r="P184" s="233"/>
      <c r="Q184" s="54"/>
      <c r="R184" s="87"/>
      <c r="S184" s="54"/>
      <c r="T184" s="54"/>
      <c r="U184" s="54"/>
    </row>
    <row r="185" spans="1:37" x14ac:dyDescent="0.3">
      <c r="A185" s="114"/>
      <c r="B185" s="290" t="s">
        <v>472</v>
      </c>
      <c r="C185" s="233"/>
      <c r="D185" s="233"/>
      <c r="H185" s="233"/>
      <c r="I185" s="233"/>
      <c r="J185" s="246"/>
      <c r="K185" s="114"/>
      <c r="L185" s="266" t="s">
        <v>430</v>
      </c>
      <c r="M185" s="233"/>
      <c r="N185" s="233"/>
      <c r="O185" s="233"/>
      <c r="P185" s="233"/>
      <c r="Q185" s="54"/>
      <c r="R185" s="87"/>
      <c r="S185" s="54"/>
      <c r="T185" s="54"/>
      <c r="U185" s="54"/>
    </row>
    <row r="186" spans="1:37" x14ac:dyDescent="0.3">
      <c r="A186" s="380"/>
      <c r="B186" s="290"/>
      <c r="C186" s="233"/>
      <c r="D186" s="233"/>
      <c r="H186" s="233"/>
      <c r="I186" s="233"/>
      <c r="J186" s="246"/>
      <c r="K186" s="241" t="s">
        <v>720</v>
      </c>
      <c r="L186" s="344" t="s">
        <v>722</v>
      </c>
      <c r="M186" s="233"/>
      <c r="N186" s="233"/>
      <c r="O186" s="233"/>
      <c r="P186" s="233"/>
      <c r="Q186" s="54"/>
      <c r="R186" s="87"/>
      <c r="S186" s="54"/>
      <c r="T186" s="54"/>
      <c r="U186" s="54"/>
    </row>
    <row r="187" spans="1:37" x14ac:dyDescent="0.3">
      <c r="A187" s="241"/>
      <c r="B187" s="290"/>
      <c r="C187" s="233"/>
      <c r="D187" s="233"/>
      <c r="H187" s="233"/>
      <c r="I187" s="233"/>
      <c r="J187" s="246"/>
      <c r="K187" s="114"/>
      <c r="L187" s="266" t="s">
        <v>495</v>
      </c>
      <c r="M187" s="233"/>
      <c r="N187" s="233"/>
      <c r="O187" s="233"/>
      <c r="P187" s="233"/>
      <c r="Q187" s="54"/>
      <c r="R187" s="87"/>
      <c r="S187" s="54"/>
      <c r="T187" s="54"/>
      <c r="U187" s="54"/>
    </row>
    <row r="188" spans="1:37" x14ac:dyDescent="0.3">
      <c r="A188" s="241"/>
      <c r="B188" s="290"/>
      <c r="C188" s="233"/>
      <c r="D188" s="233"/>
      <c r="H188" s="233"/>
      <c r="I188" s="233"/>
      <c r="J188" s="246"/>
      <c r="K188" s="114"/>
      <c r="L188" s="266" t="s">
        <v>726</v>
      </c>
      <c r="M188" s="233"/>
      <c r="N188" s="233"/>
      <c r="O188" s="233"/>
      <c r="P188" s="233"/>
      <c r="Q188" s="54"/>
      <c r="R188" s="87"/>
      <c r="S188" s="54"/>
      <c r="T188" s="54"/>
      <c r="U188" s="54"/>
    </row>
    <row r="189" spans="1:37" x14ac:dyDescent="0.3">
      <c r="A189" s="243"/>
      <c r="B189" s="296"/>
      <c r="C189" s="182"/>
      <c r="D189" s="182"/>
      <c r="E189" s="183"/>
      <c r="F189" s="297"/>
      <c r="G189" s="297"/>
      <c r="H189" s="182"/>
      <c r="I189" s="182"/>
      <c r="J189" s="252"/>
      <c r="K189" s="213"/>
      <c r="L189" s="182"/>
      <c r="M189" s="182"/>
      <c r="N189" s="182"/>
      <c r="O189" s="182"/>
      <c r="P189" s="182"/>
      <c r="Q189" s="77"/>
      <c r="R189" s="88"/>
      <c r="S189" s="54"/>
      <c r="T189" s="54"/>
      <c r="U189" s="54"/>
    </row>
    <row r="190" spans="1:37" x14ac:dyDescent="0.3">
      <c r="A190" s="243"/>
      <c r="B190" s="291" t="s">
        <v>498</v>
      </c>
      <c r="C190" s="182"/>
      <c r="D190" s="182"/>
      <c r="E190" s="182"/>
      <c r="F190" s="182"/>
      <c r="G190" s="182"/>
      <c r="H190" s="182"/>
      <c r="I190" s="182"/>
      <c r="J190" s="252"/>
      <c r="K190" s="213"/>
      <c r="L190" s="205" t="s">
        <v>571</v>
      </c>
      <c r="M190" s="342"/>
      <c r="N190" s="342"/>
      <c r="O190" s="342"/>
      <c r="P190" s="342"/>
      <c r="Q190" s="367"/>
      <c r="R190" s="348"/>
      <c r="S190" s="54"/>
      <c r="T190" s="15"/>
      <c r="U190" s="332" t="s">
        <v>499</v>
      </c>
      <c r="V190" s="342"/>
      <c r="W190" s="342"/>
      <c r="X190" s="342"/>
      <c r="Y190" s="368"/>
      <c r="Z190" s="342"/>
      <c r="AA190" s="342"/>
      <c r="AB190" s="342"/>
      <c r="AC190" s="342"/>
      <c r="AD190" s="15"/>
      <c r="AE190" s="205" t="s">
        <v>571</v>
      </c>
      <c r="AF190" s="342"/>
      <c r="AG190" s="342"/>
      <c r="AH190" s="342"/>
      <c r="AI190" s="342"/>
      <c r="AJ190" s="367"/>
      <c r="AK190" s="348"/>
    </row>
    <row r="191" spans="1:37" x14ac:dyDescent="0.3">
      <c r="A191" s="58"/>
      <c r="B191" s="196"/>
      <c r="C191" s="197"/>
      <c r="D191" s="198"/>
      <c r="E191" s="58"/>
      <c r="F191" s="58"/>
      <c r="G191" s="58"/>
      <c r="H191" s="58"/>
      <c r="I191" s="58"/>
      <c r="J191" s="58"/>
      <c r="K191" s="58"/>
      <c r="L191" s="58" t="s">
        <v>385</v>
      </c>
      <c r="M191" s="58" t="s">
        <v>385</v>
      </c>
      <c r="N191" s="58" t="s">
        <v>385</v>
      </c>
      <c r="O191" s="58"/>
      <c r="P191" s="58"/>
      <c r="Q191" s="298"/>
      <c r="R191" s="239"/>
      <c r="S191" s="239"/>
      <c r="T191" s="58"/>
      <c r="U191" s="196"/>
      <c r="V191" s="197"/>
      <c r="W191" s="198"/>
      <c r="X191" s="58"/>
      <c r="Y191" s="58"/>
      <c r="Z191" s="58"/>
      <c r="AA191" s="58"/>
      <c r="AB191" s="58"/>
      <c r="AC191" s="58"/>
      <c r="AD191" s="58"/>
      <c r="AE191" s="58" t="s">
        <v>385</v>
      </c>
      <c r="AF191" s="58" t="s">
        <v>385</v>
      </c>
      <c r="AG191" s="58" t="s">
        <v>385</v>
      </c>
      <c r="AH191" s="58"/>
      <c r="AI191" s="58"/>
      <c r="AJ191" s="298"/>
      <c r="AK191" s="385"/>
    </row>
    <row r="192" spans="1:37" x14ac:dyDescent="0.3">
      <c r="A192" s="59" t="s">
        <v>48</v>
      </c>
      <c r="B192" s="189" t="s">
        <v>62</v>
      </c>
      <c r="C192" s="50"/>
      <c r="D192" s="190"/>
      <c r="E192" s="59" t="s">
        <v>113</v>
      </c>
      <c r="F192" s="59" t="s">
        <v>436</v>
      </c>
      <c r="G192" s="59" t="s">
        <v>761</v>
      </c>
      <c r="H192" s="59" t="s">
        <v>52</v>
      </c>
      <c r="I192" s="59" t="s">
        <v>59</v>
      </c>
      <c r="J192" s="59" t="s">
        <v>50</v>
      </c>
      <c r="K192" s="59" t="s">
        <v>271</v>
      </c>
      <c r="L192" s="59" t="s">
        <v>61</v>
      </c>
      <c r="M192" s="59" t="s">
        <v>61</v>
      </c>
      <c r="N192" s="59" t="s">
        <v>61</v>
      </c>
      <c r="O192" s="59" t="s">
        <v>266</v>
      </c>
      <c r="P192" s="59" t="s">
        <v>67</v>
      </c>
      <c r="Q192" s="298"/>
      <c r="R192" s="239"/>
      <c r="S192" s="239"/>
      <c r="T192" s="59" t="s">
        <v>48</v>
      </c>
      <c r="U192" s="189" t="s">
        <v>62</v>
      </c>
      <c r="V192" s="50"/>
      <c r="W192" s="190"/>
      <c r="X192" s="59" t="s">
        <v>113</v>
      </c>
      <c r="Y192" s="59" t="s">
        <v>436</v>
      </c>
      <c r="Z192" s="59" t="s">
        <v>761</v>
      </c>
      <c r="AA192" s="59" t="s">
        <v>52</v>
      </c>
      <c r="AB192" s="59" t="s">
        <v>59</v>
      </c>
      <c r="AC192" s="59" t="s">
        <v>50</v>
      </c>
      <c r="AD192" s="59" t="s">
        <v>271</v>
      </c>
      <c r="AE192" s="59" t="s">
        <v>61</v>
      </c>
      <c r="AF192" s="59" t="s">
        <v>61</v>
      </c>
      <c r="AG192" s="59" t="s">
        <v>61</v>
      </c>
      <c r="AH192" s="59" t="s">
        <v>266</v>
      </c>
      <c r="AI192" s="59" t="s">
        <v>67</v>
      </c>
      <c r="AJ192" s="298"/>
      <c r="AK192" s="385"/>
    </row>
    <row r="193" spans="1:37" x14ac:dyDescent="0.3">
      <c r="A193" s="59"/>
      <c r="B193" s="189" t="s">
        <v>49</v>
      </c>
      <c r="C193" s="50"/>
      <c r="D193" s="190"/>
      <c r="E193" s="59" t="s">
        <v>114</v>
      </c>
      <c r="F193" s="59" t="s">
        <v>437</v>
      </c>
      <c r="G193" s="59" t="s">
        <v>762</v>
      </c>
      <c r="H193" s="59" t="s">
        <v>54</v>
      </c>
      <c r="I193" s="178" t="str">
        <f>IF($A$185="","",IF($A$185="rektangulær","kant/diagonal","diameter"))</f>
        <v/>
      </c>
      <c r="J193" s="59"/>
      <c r="K193" s="59" t="s">
        <v>51</v>
      </c>
      <c r="L193" s="59" t="s">
        <v>308</v>
      </c>
      <c r="M193" s="59" t="s">
        <v>308</v>
      </c>
      <c r="N193" s="59" t="s">
        <v>308</v>
      </c>
      <c r="O193" s="59" t="s">
        <v>271</v>
      </c>
      <c r="P193" s="59" t="s">
        <v>271</v>
      </c>
      <c r="Q193" s="298"/>
      <c r="R193" s="239"/>
      <c r="S193" s="239"/>
      <c r="T193" s="59"/>
      <c r="U193" s="189" t="s">
        <v>49</v>
      </c>
      <c r="V193" s="50"/>
      <c r="W193" s="190"/>
      <c r="X193" s="59" t="s">
        <v>114</v>
      </c>
      <c r="Y193" s="59" t="s">
        <v>437</v>
      </c>
      <c r="Z193" s="59" t="s">
        <v>762</v>
      </c>
      <c r="AA193" s="59" t="s">
        <v>54</v>
      </c>
      <c r="AB193" s="178" t="str">
        <f>IF($A$185="","",IF($A$185="rektangulær","kant/diagonal","diameter"))</f>
        <v/>
      </c>
      <c r="AC193" s="59"/>
      <c r="AD193" s="59" t="s">
        <v>51</v>
      </c>
      <c r="AE193" s="59" t="s">
        <v>308</v>
      </c>
      <c r="AF193" s="59" t="s">
        <v>308</v>
      </c>
      <c r="AG193" s="59" t="s">
        <v>308</v>
      </c>
      <c r="AH193" s="59" t="s">
        <v>271</v>
      </c>
      <c r="AI193" s="59" t="s">
        <v>271</v>
      </c>
      <c r="AJ193" s="298"/>
      <c r="AK193" s="385"/>
    </row>
    <row r="194" spans="1:37" x14ac:dyDescent="0.3">
      <c r="A194" s="59"/>
      <c r="B194" s="189"/>
      <c r="C194" s="50"/>
      <c r="D194" s="190"/>
      <c r="E194" s="59" t="s">
        <v>384</v>
      </c>
      <c r="F194" s="59" t="s">
        <v>438</v>
      </c>
      <c r="G194" s="59"/>
      <c r="H194" s="59"/>
      <c r="I194" s="59" t="s">
        <v>60</v>
      </c>
      <c r="J194" s="59"/>
      <c r="K194" s="59"/>
      <c r="L194" s="59" t="str">
        <f>IF($K$188="","",$K$188)</f>
        <v/>
      </c>
      <c r="M194" s="59" t="str">
        <f>IF($K$188="","",$K$188)</f>
        <v/>
      </c>
      <c r="N194" s="59" t="s">
        <v>66</v>
      </c>
      <c r="O194" s="59" t="s">
        <v>308</v>
      </c>
      <c r="P194" s="59" t="s">
        <v>308</v>
      </c>
      <c r="Q194" s="298"/>
      <c r="R194" s="239"/>
      <c r="S194" s="239"/>
      <c r="T194" s="59"/>
      <c r="U194" s="189"/>
      <c r="V194" s="50"/>
      <c r="W194" s="190"/>
      <c r="X194" s="59" t="s">
        <v>384</v>
      </c>
      <c r="Y194" s="59" t="s">
        <v>438</v>
      </c>
      <c r="Z194" s="59"/>
      <c r="AA194" s="59"/>
      <c r="AB194" s="59" t="s">
        <v>60</v>
      </c>
      <c r="AC194" s="59"/>
      <c r="AD194" s="59"/>
      <c r="AE194" s="59" t="str">
        <f>IF($K$188="","",$K$188)</f>
        <v/>
      </c>
      <c r="AF194" s="59" t="str">
        <f>IF($K$188="","",$K$188)</f>
        <v/>
      </c>
      <c r="AG194" s="59" t="s">
        <v>66</v>
      </c>
      <c r="AH194" s="59" t="s">
        <v>308</v>
      </c>
      <c r="AI194" s="59" t="s">
        <v>308</v>
      </c>
      <c r="AJ194" s="298"/>
      <c r="AK194" s="385"/>
    </row>
    <row r="195" spans="1:37" x14ac:dyDescent="0.3">
      <c r="A195" s="60"/>
      <c r="B195" s="191"/>
      <c r="C195" s="57"/>
      <c r="D195" s="192"/>
      <c r="E195" s="60"/>
      <c r="F195" s="60" t="s">
        <v>109</v>
      </c>
      <c r="G195" s="60"/>
      <c r="H195" s="60" t="s">
        <v>270</v>
      </c>
      <c r="I195" s="60" t="s">
        <v>272</v>
      </c>
      <c r="J195" s="60"/>
      <c r="K195" s="60" t="s">
        <v>270</v>
      </c>
      <c r="L195" s="60" t="s">
        <v>65</v>
      </c>
      <c r="M195" s="60" t="s">
        <v>273</v>
      </c>
      <c r="N195" s="60" t="s">
        <v>64</v>
      </c>
      <c r="O195" s="179" t="s">
        <v>267</v>
      </c>
      <c r="P195" s="179" t="s">
        <v>130</v>
      </c>
      <c r="Q195" s="298"/>
      <c r="R195" s="239"/>
      <c r="S195" s="239"/>
      <c r="T195" s="60"/>
      <c r="U195" s="191"/>
      <c r="V195" s="57"/>
      <c r="W195" s="192"/>
      <c r="X195" s="60"/>
      <c r="Y195" s="60" t="s">
        <v>109</v>
      </c>
      <c r="Z195" s="60"/>
      <c r="AA195" s="60" t="s">
        <v>270</v>
      </c>
      <c r="AB195" s="60" t="s">
        <v>272</v>
      </c>
      <c r="AC195" s="60"/>
      <c r="AD195" s="60" t="s">
        <v>270</v>
      </c>
      <c r="AE195" s="60" t="s">
        <v>65</v>
      </c>
      <c r="AF195" s="60" t="s">
        <v>273</v>
      </c>
      <c r="AG195" s="60" t="s">
        <v>64</v>
      </c>
      <c r="AH195" s="179" t="s">
        <v>267</v>
      </c>
      <c r="AI195" s="179" t="s">
        <v>130</v>
      </c>
      <c r="AJ195" s="298"/>
      <c r="AK195" s="385"/>
    </row>
    <row r="196" spans="1:37" x14ac:dyDescent="0.3">
      <c r="A196" s="61">
        <v>1</v>
      </c>
      <c r="B196" s="397"/>
      <c r="C196" s="468"/>
      <c r="D196" s="398"/>
      <c r="E196" s="90"/>
      <c r="F196" s="90"/>
      <c r="G196" s="90"/>
      <c r="H196" s="90"/>
      <c r="I196" s="90"/>
      <c r="J196" s="90"/>
      <c r="K196" s="90"/>
      <c r="L196" s="90"/>
      <c r="M196" s="180" t="str">
        <f>IF(OR($K$179="",$K$181="",$A$183="",L196=""),"",IF($A$183="SSD detektor",L196*(($K$179-$K$181)/($K$179-$K$180))^2,L196/1.4*(($K$179-$K$181)/($K$179-$K$180))^2))</f>
        <v/>
      </c>
      <c r="N196" s="204" t="str">
        <f>IF(OR($A$183="",$K$179="",$K$181="",$K$188="",L196=""),"",M196*VLOOKUP($K$188,Data!$L$32:$M$36,2,FALSE))</f>
        <v/>
      </c>
      <c r="O196" s="61" t="str">
        <f>IF(OR(F196="",L196=""),"",IF(F196="nej",88,176))</f>
        <v/>
      </c>
      <c r="P196" s="61" t="str">
        <f>IF(OR($A$183="",$K$179="",$K$188="",L196=""),"",IF(N196&gt;O196,"IKKE OK","OK"))</f>
        <v/>
      </c>
      <c r="Q196" s="384"/>
      <c r="R196" s="286"/>
      <c r="S196" s="239"/>
      <c r="T196" s="61">
        <v>1</v>
      </c>
      <c r="U196" s="397"/>
      <c r="V196" s="468"/>
      <c r="W196" s="398"/>
      <c r="X196" s="90"/>
      <c r="Y196" s="90"/>
      <c r="Z196" s="90"/>
      <c r="AA196" s="90"/>
      <c r="AB196" s="90"/>
      <c r="AC196" s="90"/>
      <c r="AD196" s="90"/>
      <c r="AE196" s="90"/>
      <c r="AF196" s="180" t="str">
        <f>IF(OR($K$179="",$K$181="",$A$183="",AE196=""),"",IF($A$183="SSD detektor",AE196*(($K$179-$K$181)/($K$179-$K$180))^2,AE196/1.4*(($K$179-$K$181)/($K$179-$K$180))^2))</f>
        <v/>
      </c>
      <c r="AG196" s="204" t="str">
        <f>IF(OR($A$183="",$K$179="",$K$181="",AE196=""),"",AF196*VLOOKUP($K$188,Data!$L$32:$M$36,2,FALSE))</f>
        <v/>
      </c>
      <c r="AH196" s="61" t="str">
        <f>IF(OR(Y196="",AE196=""),"",IF(Y196="nej",88,176))</f>
        <v/>
      </c>
      <c r="AI196" s="61" t="str">
        <f>IF(OR($A$183="",$K$179="",AE196=""),"",IF(AG196&gt;AH196,"IKKE OK","OK"))</f>
        <v/>
      </c>
      <c r="AJ196" s="298"/>
      <c r="AK196" s="386"/>
    </row>
    <row r="197" spans="1:37" x14ac:dyDescent="0.3">
      <c r="A197" s="61">
        <v>2</v>
      </c>
      <c r="B197" s="397"/>
      <c r="C197" s="468"/>
      <c r="D197" s="398"/>
      <c r="E197" s="90"/>
      <c r="F197" s="90"/>
      <c r="G197" s="90"/>
      <c r="H197" s="90"/>
      <c r="I197" s="90"/>
      <c r="J197" s="90"/>
      <c r="K197" s="90"/>
      <c r="L197" s="90"/>
      <c r="M197" s="180" t="str">
        <f t="shared" ref="M197:M198" si="18">IF(OR($K$179="",$K$181="",$A$183="",L197=""),"",IF($A$183="SSD detektor",L197*(($K$179-$K$181)/($K$179-$K$180))^2,L197/1.4*(($K$179-$K$181)/($K$179-$K$180))^2))</f>
        <v/>
      </c>
      <c r="N197" s="204" t="str">
        <f>IF(OR($A$183="",$K$179="",$K$181="",$K$188="",L197=""),"",M197*VLOOKUP($K$188,Data!$L$32:$M$36,2,FALSE))</f>
        <v/>
      </c>
      <c r="O197" s="61" t="str">
        <f t="shared" ref="O197:O198" si="19">IF(OR(F197="",L197=""),"",IF(F197="nej",88,176))</f>
        <v/>
      </c>
      <c r="P197" s="61" t="str">
        <f t="shared" ref="P197:P198" si="20">IF(OR($A$183="",$K$179="",$K$188="",L197=""),"",IF(N197&gt;O197,"IKKE OK","OK"))</f>
        <v/>
      </c>
      <c r="Q197" s="384"/>
      <c r="R197" s="286"/>
      <c r="S197" s="239"/>
      <c r="T197" s="61">
        <v>2</v>
      </c>
      <c r="U197" s="397"/>
      <c r="V197" s="468"/>
      <c r="W197" s="398"/>
      <c r="X197" s="90"/>
      <c r="Y197" s="90"/>
      <c r="Z197" s="90"/>
      <c r="AA197" s="90"/>
      <c r="AB197" s="90"/>
      <c r="AC197" s="90"/>
      <c r="AD197" s="90"/>
      <c r="AE197" s="90"/>
      <c r="AF197" s="180" t="str">
        <f t="shared" ref="AF197:AF198" si="21">IF(OR($K$179="",$K$181="",$A$183="",AE197=""),"",IF($A$183="SSD detektor",AE197*(($K$179-$K$181)/($K$179-$K$180))^2,AE197/1.4*(($K$179-$K$181)/($K$179-$K$180))^2))</f>
        <v/>
      </c>
      <c r="AG197" s="204" t="str">
        <f>IF(OR($A$183="",$K$179="",$K$181="",AE197=""),"",AF197*VLOOKUP($K$188,Data!$L$32:$M$36,2,FALSE))</f>
        <v/>
      </c>
      <c r="AH197" s="61" t="str">
        <f>IF(OR(Y197="",AE197=""),"",IF(Y197="nej",88,176))</f>
        <v/>
      </c>
      <c r="AI197" s="61" t="str">
        <f>IF(OR($A$183="",$K$179="",AE197=""),"",IF(AG197&gt;AH197,"IKKE OK","OK"))</f>
        <v/>
      </c>
      <c r="AJ197" s="298"/>
      <c r="AK197" s="386"/>
    </row>
    <row r="198" spans="1:37" x14ac:dyDescent="0.3">
      <c r="A198" s="61">
        <v>3</v>
      </c>
      <c r="B198" s="397"/>
      <c r="C198" s="468"/>
      <c r="D198" s="398"/>
      <c r="E198" s="90"/>
      <c r="F198" s="90"/>
      <c r="G198" s="90"/>
      <c r="H198" s="90"/>
      <c r="I198" s="90"/>
      <c r="J198" s="90"/>
      <c r="K198" s="90"/>
      <c r="L198" s="90"/>
      <c r="M198" s="180" t="str">
        <f t="shared" si="18"/>
        <v/>
      </c>
      <c r="N198" s="204" t="str">
        <f>IF(OR($A$183="",$K$179="",$K$181="",$K$188="",L198=""),"",M198*VLOOKUP($K$188,Data!$L$32:$M$36,2,FALSE))</f>
        <v/>
      </c>
      <c r="O198" s="61" t="str">
        <f t="shared" si="19"/>
        <v/>
      </c>
      <c r="P198" s="61" t="str">
        <f t="shared" si="20"/>
        <v/>
      </c>
      <c r="Q198" s="384"/>
      <c r="R198" s="286"/>
      <c r="S198" s="239"/>
      <c r="T198" s="61">
        <v>3</v>
      </c>
      <c r="U198" s="397"/>
      <c r="V198" s="468"/>
      <c r="W198" s="398"/>
      <c r="X198" s="90"/>
      <c r="Y198" s="90"/>
      <c r="Z198" s="90"/>
      <c r="AA198" s="90"/>
      <c r="AB198" s="90"/>
      <c r="AC198" s="90"/>
      <c r="AD198" s="90"/>
      <c r="AE198" s="90"/>
      <c r="AF198" s="180" t="str">
        <f t="shared" si="21"/>
        <v/>
      </c>
      <c r="AG198" s="204" t="str">
        <f>IF(OR($A$183="",$K$179="",$K$181="",AE198=""),"",AF198*VLOOKUP($K$188,Data!$L$32:$M$36,2,FALSE))</f>
        <v/>
      </c>
      <c r="AH198" s="61" t="str">
        <f>IF(OR(Y198="",AE198=""),"",IF(Y198="nej",88,176))</f>
        <v/>
      </c>
      <c r="AI198" s="61" t="str">
        <f>IF(OR($A$183="",$K$179="",AE198=""),"",IF(AG198&gt;AH198,"IKKE OK","OK"))</f>
        <v/>
      </c>
      <c r="AJ198" s="383"/>
      <c r="AK198" s="137"/>
    </row>
    <row r="199" spans="1:37" x14ac:dyDescent="0.3">
      <c r="K199" s="15"/>
      <c r="L199" s="208" t="s">
        <v>572</v>
      </c>
      <c r="Q199" s="368"/>
      <c r="R199" s="369"/>
      <c r="S199" s="85"/>
      <c r="AD199" s="15"/>
      <c r="AE199" s="208" t="s">
        <v>572</v>
      </c>
      <c r="AK199" s="209"/>
    </row>
    <row r="200" spans="1:37" x14ac:dyDescent="0.3">
      <c r="A200" s="58"/>
      <c r="B200" s="196"/>
      <c r="C200" s="197"/>
      <c r="D200" s="198"/>
      <c r="E200" s="58"/>
      <c r="F200" s="58"/>
      <c r="G200" s="58"/>
      <c r="H200" s="58"/>
      <c r="I200" s="58"/>
      <c r="J200" s="58"/>
      <c r="K200" s="58"/>
      <c r="L200" s="58"/>
      <c r="M200" s="58"/>
      <c r="N200" s="58"/>
      <c r="O200" s="58"/>
      <c r="P200" s="58"/>
      <c r="Q200" s="59"/>
      <c r="R200" s="206"/>
      <c r="S200" s="298"/>
      <c r="T200" s="58"/>
      <c r="U200" s="196"/>
      <c r="V200" s="197"/>
      <c r="W200" s="198"/>
      <c r="X200" s="58"/>
      <c r="Y200" s="58"/>
      <c r="Z200" s="58"/>
      <c r="AA200" s="58"/>
      <c r="AB200" s="58"/>
      <c r="AC200" s="58"/>
      <c r="AD200" s="58"/>
      <c r="AE200" s="58"/>
      <c r="AF200" s="58"/>
      <c r="AG200" s="58"/>
      <c r="AH200" s="58"/>
      <c r="AI200" s="58"/>
      <c r="AJ200" s="188"/>
      <c r="AK200" s="58"/>
    </row>
    <row r="201" spans="1:37" x14ac:dyDescent="0.3">
      <c r="A201" s="59" t="s">
        <v>48</v>
      </c>
      <c r="B201" s="189" t="s">
        <v>62</v>
      </c>
      <c r="C201" s="50"/>
      <c r="D201" s="190"/>
      <c r="E201" s="59" t="s">
        <v>113</v>
      </c>
      <c r="F201" s="59" t="s">
        <v>436</v>
      </c>
      <c r="G201" s="59" t="s">
        <v>761</v>
      </c>
      <c r="H201" s="59" t="s">
        <v>52</v>
      </c>
      <c r="I201" s="59" t="s">
        <v>59</v>
      </c>
      <c r="J201" s="59" t="s">
        <v>50</v>
      </c>
      <c r="K201" s="59" t="s">
        <v>271</v>
      </c>
      <c r="L201" s="59" t="s">
        <v>115</v>
      </c>
      <c r="M201" s="59" t="s">
        <v>727</v>
      </c>
      <c r="N201" s="59" t="s">
        <v>728</v>
      </c>
      <c r="O201" s="210" t="s">
        <v>421</v>
      </c>
      <c r="P201" s="59" t="s">
        <v>115</v>
      </c>
      <c r="Q201" s="59" t="s">
        <v>70</v>
      </c>
      <c r="R201" s="206" t="s">
        <v>67</v>
      </c>
      <c r="S201" s="298"/>
      <c r="T201" s="59" t="s">
        <v>48</v>
      </c>
      <c r="U201" s="189" t="s">
        <v>62</v>
      </c>
      <c r="V201" s="50"/>
      <c r="W201" s="190"/>
      <c r="X201" s="59" t="s">
        <v>113</v>
      </c>
      <c r="Y201" s="59" t="s">
        <v>436</v>
      </c>
      <c r="Z201" s="59" t="s">
        <v>761</v>
      </c>
      <c r="AA201" s="59" t="s">
        <v>52</v>
      </c>
      <c r="AB201" s="59" t="s">
        <v>59</v>
      </c>
      <c r="AC201" s="59" t="s">
        <v>50</v>
      </c>
      <c r="AD201" s="59" t="s">
        <v>271</v>
      </c>
      <c r="AE201" s="59" t="s">
        <v>115</v>
      </c>
      <c r="AF201" s="59" t="s">
        <v>252</v>
      </c>
      <c r="AG201" s="59" t="s">
        <v>253</v>
      </c>
      <c r="AH201" s="210" t="s">
        <v>421</v>
      </c>
      <c r="AI201" s="59" t="s">
        <v>115</v>
      </c>
      <c r="AJ201" s="206" t="s">
        <v>70</v>
      </c>
      <c r="AK201" s="59" t="s">
        <v>67</v>
      </c>
    </row>
    <row r="202" spans="1:37" x14ac:dyDescent="0.3">
      <c r="A202" s="59"/>
      <c r="B202" s="189" t="s">
        <v>49</v>
      </c>
      <c r="C202" s="50"/>
      <c r="D202" s="190"/>
      <c r="E202" s="59" t="s">
        <v>114</v>
      </c>
      <c r="F202" s="59" t="s">
        <v>437</v>
      </c>
      <c r="G202" s="59" t="s">
        <v>762</v>
      </c>
      <c r="H202" s="59" t="s">
        <v>54</v>
      </c>
      <c r="I202" s="178" t="str">
        <f>IF($A$185="","",IF($A$185="rektangulær","kant/diagonal","diameter"))</f>
        <v/>
      </c>
      <c r="J202" s="59"/>
      <c r="K202" s="59" t="s">
        <v>51</v>
      </c>
      <c r="L202" s="178" t="str">
        <f>IF($K$187="","",$K$187)</f>
        <v/>
      </c>
      <c r="M202" s="178" t="str">
        <f>IF($K$184="","",$K$184)</f>
        <v/>
      </c>
      <c r="N202" s="178" t="str">
        <f>IF($K$184="","",$K$184)</f>
        <v/>
      </c>
      <c r="O202" s="178" t="s">
        <v>68</v>
      </c>
      <c r="P202" s="178" t="s">
        <v>68</v>
      </c>
      <c r="Q202" s="59" t="s">
        <v>58</v>
      </c>
      <c r="R202" s="206"/>
      <c r="S202" s="298"/>
      <c r="T202" s="59"/>
      <c r="U202" s="189" t="s">
        <v>49</v>
      </c>
      <c r="V202" s="50"/>
      <c r="W202" s="190"/>
      <c r="X202" s="59" t="s">
        <v>114</v>
      </c>
      <c r="Y202" s="59" t="s">
        <v>437</v>
      </c>
      <c r="Z202" s="59" t="s">
        <v>762</v>
      </c>
      <c r="AA202" s="59" t="s">
        <v>54</v>
      </c>
      <c r="AB202" s="178" t="str">
        <f>IF($A$185="","",IF($A$185="rektangulær","kant/diagonal","diameter"))</f>
        <v/>
      </c>
      <c r="AC202" s="59"/>
      <c r="AD202" s="59" t="s">
        <v>51</v>
      </c>
      <c r="AE202" s="178" t="str">
        <f>IF($K$187="","",$K$187)</f>
        <v/>
      </c>
      <c r="AF202" s="178" t="str">
        <f>IF($K$184="","",$K$184)</f>
        <v/>
      </c>
      <c r="AG202" s="178" t="str">
        <f>IF($K$184="","",$K$184)</f>
        <v/>
      </c>
      <c r="AH202" s="178" t="s">
        <v>68</v>
      </c>
      <c r="AI202" s="178" t="s">
        <v>68</v>
      </c>
      <c r="AJ202" s="206" t="s">
        <v>58</v>
      </c>
      <c r="AK202" s="59"/>
    </row>
    <row r="203" spans="1:37" x14ac:dyDescent="0.3">
      <c r="A203" s="59"/>
      <c r="B203" s="189"/>
      <c r="C203" s="50"/>
      <c r="D203" s="190"/>
      <c r="E203" s="59" t="s">
        <v>384</v>
      </c>
      <c r="F203" s="59" t="s">
        <v>438</v>
      </c>
      <c r="G203" s="59"/>
      <c r="H203" s="59"/>
      <c r="I203" s="59" t="s">
        <v>60</v>
      </c>
      <c r="J203" s="59"/>
      <c r="K203" s="59"/>
      <c r="L203" s="59" t="s">
        <v>63</v>
      </c>
      <c r="M203" s="59" t="s">
        <v>63</v>
      </c>
      <c r="N203" s="59" t="s">
        <v>63</v>
      </c>
      <c r="O203" s="59"/>
      <c r="P203" s="59" t="s">
        <v>382</v>
      </c>
      <c r="Q203" s="59"/>
      <c r="R203" s="206"/>
      <c r="S203" s="298"/>
      <c r="T203" s="59"/>
      <c r="U203" s="189"/>
      <c r="V203" s="50"/>
      <c r="W203" s="190"/>
      <c r="X203" s="59" t="s">
        <v>384</v>
      </c>
      <c r="Y203" s="59" t="s">
        <v>438</v>
      </c>
      <c r="Z203" s="59"/>
      <c r="AA203" s="59"/>
      <c r="AB203" s="59" t="s">
        <v>60</v>
      </c>
      <c r="AC203" s="59"/>
      <c r="AD203" s="59"/>
      <c r="AE203" s="59" t="s">
        <v>63</v>
      </c>
      <c r="AF203" s="59" t="s">
        <v>63</v>
      </c>
      <c r="AG203" s="59" t="s">
        <v>63</v>
      </c>
      <c r="AH203" s="59"/>
      <c r="AI203" s="59" t="s">
        <v>382</v>
      </c>
      <c r="AJ203" s="206"/>
      <c r="AK203" s="59"/>
    </row>
    <row r="204" spans="1:37" x14ac:dyDescent="0.3">
      <c r="A204" s="60"/>
      <c r="B204" s="191"/>
      <c r="C204" s="57"/>
      <c r="D204" s="192"/>
      <c r="E204" s="60"/>
      <c r="F204" s="60" t="s">
        <v>109</v>
      </c>
      <c r="G204" s="60"/>
      <c r="H204" s="60" t="s">
        <v>270</v>
      </c>
      <c r="I204" s="60" t="s">
        <v>272</v>
      </c>
      <c r="J204" s="60"/>
      <c r="K204" s="60" t="s">
        <v>270</v>
      </c>
      <c r="L204" s="60" t="s">
        <v>569</v>
      </c>
      <c r="M204" s="60" t="s">
        <v>90</v>
      </c>
      <c r="N204" s="60" t="s">
        <v>90</v>
      </c>
      <c r="O204" s="60" t="s">
        <v>90</v>
      </c>
      <c r="P204" s="60" t="s">
        <v>255</v>
      </c>
      <c r="Q204" s="60"/>
      <c r="R204" s="299" t="s">
        <v>251</v>
      </c>
      <c r="S204" s="300"/>
      <c r="T204" s="60"/>
      <c r="U204" s="191"/>
      <c r="V204" s="57"/>
      <c r="W204" s="192"/>
      <c r="X204" s="60"/>
      <c r="Y204" s="60" t="s">
        <v>109</v>
      </c>
      <c r="Z204" s="60"/>
      <c r="AA204" s="60" t="s">
        <v>270</v>
      </c>
      <c r="AB204" s="60" t="s">
        <v>272</v>
      </c>
      <c r="AC204" s="60"/>
      <c r="AD204" s="60" t="s">
        <v>270</v>
      </c>
      <c r="AE204" s="60" t="s">
        <v>569</v>
      </c>
      <c r="AF204" s="60" t="s">
        <v>90</v>
      </c>
      <c r="AG204" s="60" t="s">
        <v>90</v>
      </c>
      <c r="AH204" s="60" t="s">
        <v>90</v>
      </c>
      <c r="AI204" s="60" t="s">
        <v>255</v>
      </c>
      <c r="AJ204" s="207"/>
      <c r="AK204" s="179" t="s">
        <v>251</v>
      </c>
    </row>
    <row r="205" spans="1:37" x14ac:dyDescent="0.3">
      <c r="A205" s="61">
        <v>1</v>
      </c>
      <c r="B205" s="397"/>
      <c r="C205" s="468"/>
      <c r="D205" s="398"/>
      <c r="E205" s="90"/>
      <c r="F205" s="90"/>
      <c r="G205" s="90"/>
      <c r="H205" s="90"/>
      <c r="I205" s="90"/>
      <c r="J205" s="90"/>
      <c r="K205" s="90"/>
      <c r="L205" s="90"/>
      <c r="M205" s="90"/>
      <c r="N205" s="90"/>
      <c r="O205" s="283" t="str">
        <f>IF(OR($K$184="",M205="",N205=""),"",(N205-M205)*VLOOKUP($K$184,Data!$O$32:$P$36,2,FALSE))</f>
        <v/>
      </c>
      <c r="P205" s="283" t="str">
        <f>IF(OR($A$183="",$K$179="",$K$181="",$K$182="",$K$187="",L205=""),"",IF($A$183="Ionkammer",L205*(($K$179-$K$181)/($K$179-$K$182))^2*VLOOKUP($K$187,Data!$O$32:$P$36,2,FALSE)/1.4,L205*(($K$179-$K$181)/($K$179-$K$182))^2*VLOOKUP($K$187,Data!$O$32:$P$36,2,FALSE)))</f>
        <v/>
      </c>
      <c r="Q205" s="301" t="str">
        <f>IF(OR(L205="",N205="",$K$179="",$O$205="",$P$205=""),"",ABS(P205/O205-1)*100)</f>
        <v/>
      </c>
      <c r="R205" s="302" t="str">
        <f>IF(Q205="","",IF(Q205&gt;35,"IKKE OK","OK"))</f>
        <v/>
      </c>
      <c r="S205" s="298"/>
      <c r="T205" s="61">
        <v>1</v>
      </c>
      <c r="U205" s="397"/>
      <c r="V205" s="468"/>
      <c r="W205" s="398"/>
      <c r="X205" s="90"/>
      <c r="Y205" s="90"/>
      <c r="Z205" s="90"/>
      <c r="AA205" s="90"/>
      <c r="AB205" s="90"/>
      <c r="AC205" s="90"/>
      <c r="AD205" s="90"/>
      <c r="AE205" s="90"/>
      <c r="AF205" s="90"/>
      <c r="AG205" s="90"/>
      <c r="AH205" s="283" t="str">
        <f>IF(OR(AF205="",AG205=""),"",(AG205-AF205)*VLOOKUP($K$184,Data!$O$32:$P$36,2,FALSE))</f>
        <v/>
      </c>
      <c r="AI205" s="283" t="str">
        <f>IF(OR($A$183="",$K$179="",$K$181="",$K$182="",AE205=""),"",IF($A$183="Ionkammer",AE205*(($K$179-$K$181)/($K$179-$K$182))^2*VLOOKUP($K$187,Data!$O$32:$P$36,2,FALSE)/1.4,AE205*(($K$179-$K$181)/($K$179-$K$182))^2*VLOOKUP($K$187,Data!$O$32:$P$36,2,FALSE)))</f>
        <v/>
      </c>
      <c r="AJ205" s="301" t="str">
        <f>IF(OR(AE205="",AG205="",$K$179="",$O$205=""),"",ABS(AI205/AH205-1)*100)</f>
        <v/>
      </c>
      <c r="AK205" s="61" t="str">
        <f>IF(AJ205="","",IF(AJ205&gt;35,"IKKE OK","OK"))</f>
        <v/>
      </c>
    </row>
    <row r="206" spans="1:37" x14ac:dyDescent="0.3">
      <c r="A206" s="61">
        <v>2</v>
      </c>
      <c r="B206" s="397"/>
      <c r="C206" s="468"/>
      <c r="D206" s="398"/>
      <c r="E206" s="90"/>
      <c r="F206" s="90"/>
      <c r="G206" s="90"/>
      <c r="H206" s="90"/>
      <c r="I206" s="90"/>
      <c r="J206" s="90"/>
      <c r="K206" s="90"/>
      <c r="L206" s="90"/>
      <c r="M206" s="90"/>
      <c r="N206" s="90"/>
      <c r="O206" s="283" t="str">
        <f>IF(OR($K$184="",M206="",N206=""),"",(N206-M206)*VLOOKUP($K$184,Data!$O$32:$P$36,2,FALSE))</f>
        <v/>
      </c>
      <c r="P206" s="283" t="str">
        <f>IF(OR($A$183="",$K$179="",$K$181="",$K$182="",$K$187="",L206=""),"",IF($A$183="Ionkammer",L206*(($K$179-$K$181)/($K$179-$K$182))^2*VLOOKUP($K$187,Data!$O$32:$P$36,2,FALSE)/1.4,L206*(($K$179-$K$181)/($K$179-$K$182))^2*VLOOKUP($K$187,Data!$O$32:$P$36,2,FALSE)))</f>
        <v/>
      </c>
      <c r="Q206" s="301" t="str">
        <f t="shared" ref="Q206:Q207" si="22">IF(OR(L206="",N206="",$K$179="",$O$205="",$P$205=""),"",ABS(P206/O206-1)*100)</f>
        <v/>
      </c>
      <c r="R206" s="302" t="str">
        <f t="shared" ref="R206" si="23">IF(Q206="","",IF(Q206&gt;35,"IKKE OK","OK"))</f>
        <v/>
      </c>
      <c r="S206" s="298"/>
      <c r="T206" s="61">
        <v>2</v>
      </c>
      <c r="U206" s="397"/>
      <c r="V206" s="468"/>
      <c r="W206" s="398"/>
      <c r="X206" s="90"/>
      <c r="Y206" s="90"/>
      <c r="Z206" s="90"/>
      <c r="AA206" s="90"/>
      <c r="AB206" s="90"/>
      <c r="AC206" s="90"/>
      <c r="AD206" s="90"/>
      <c r="AE206" s="90"/>
      <c r="AF206" s="90"/>
      <c r="AG206" s="90"/>
      <c r="AH206" s="283" t="str">
        <f>IF(OR(AF206="",AG206=""),"",(AG206-AF206)*VLOOKUP($K$184,Data!$O$32:$P$36,2,FALSE))</f>
        <v/>
      </c>
      <c r="AI206" s="283" t="str">
        <f>IF(OR($A$183="",$K$179="",$K$181="",$K$182="",AE206=""),"",IF($A$183="Ionkammer",AE206*(($K$179-$K$181)/($K$179-$K$182))^2*VLOOKUP($K$187,Data!$O$32:$P$36,2,FALSE)/1.4,AE206*(($K$179-$K$181)/($K$179-$K$182))^2*VLOOKUP($K$187,Data!$O$32:$P$36,2,FALSE)))</f>
        <v/>
      </c>
      <c r="AJ206" s="301" t="str">
        <f t="shared" ref="AJ206:AJ207" si="24">IF(OR(AE206="",AG206="",$K$179="",$O$205=""),"",ABS(AI206/AH206-1)*100)</f>
        <v/>
      </c>
      <c r="AK206" s="61" t="str">
        <f t="shared" ref="AK206:AK207" si="25">IF(AJ206="","",IF(AJ206&gt;35,"IKKE OK","OK"))</f>
        <v/>
      </c>
    </row>
    <row r="207" spans="1:37" x14ac:dyDescent="0.3">
      <c r="A207" s="61">
        <v>3</v>
      </c>
      <c r="B207" s="397"/>
      <c r="C207" s="468"/>
      <c r="D207" s="398"/>
      <c r="E207" s="90"/>
      <c r="F207" s="90"/>
      <c r="G207" s="90"/>
      <c r="H207" s="90"/>
      <c r="I207" s="90"/>
      <c r="J207" s="90"/>
      <c r="K207" s="90"/>
      <c r="L207" s="90"/>
      <c r="M207" s="90"/>
      <c r="N207" s="90"/>
      <c r="O207" s="283" t="str">
        <f>IF(OR($K$184="",M207="",N207=""),"",(N207-M207)*VLOOKUP($K$184,Data!$O$32:$P$36,2,FALSE))</f>
        <v/>
      </c>
      <c r="P207" s="283" t="str">
        <f>IF(OR($A$183="",$K$179="",$K$181="",$K$182="",$K$187="",L207=""),"",IF($A$183="Ionkammer",L207*(($K$179-$K$181)/($K$179-$K$182))^2*VLOOKUP($K$187,Data!$O$32:$P$36,2,FALSE)/1.4,L207*(($K$179-$K$181)/($K$179-$K$182))^2*VLOOKUP($K$187,Data!$O$32:$P$36,2,FALSE)))</f>
        <v/>
      </c>
      <c r="Q207" s="301" t="str">
        <f t="shared" si="22"/>
        <v/>
      </c>
      <c r="R207" s="302" t="str">
        <f t="shared" ref="R207" si="26">IF(Q207="","",IF(Q207&gt;35,"IKKE OK","OK"))</f>
        <v/>
      </c>
      <c r="S207" s="298"/>
      <c r="T207" s="61">
        <v>3</v>
      </c>
      <c r="U207" s="397"/>
      <c r="V207" s="468"/>
      <c r="W207" s="398"/>
      <c r="X207" s="90"/>
      <c r="Y207" s="90"/>
      <c r="Z207" s="90"/>
      <c r="AA207" s="90"/>
      <c r="AB207" s="90"/>
      <c r="AC207" s="90"/>
      <c r="AD207" s="90"/>
      <c r="AE207" s="90"/>
      <c r="AF207" s="90"/>
      <c r="AG207" s="90"/>
      <c r="AH207" s="283" t="str">
        <f>IF(OR(AF207="",AG207=""),"",(AG207-AF207)*VLOOKUP($K$184,Data!$O$32:$P$36,2,FALSE))</f>
        <v/>
      </c>
      <c r="AI207" s="283" t="str">
        <f>IF(OR($A$183="",$K$179="",$K$181="",$K$182="",AE207=""),"",IF($A$183="Ionkammer",AE207*(($K$179-$K$181)/($K$179-$K$182))^2*VLOOKUP($K$187,Data!$O$32:$P$36,2,FALSE)/1.4,AE207*(($K$179-$K$181)/($K$179-$K$182))^2*VLOOKUP($K$187,Data!$O$32:$P$36,2,FALSE)))</f>
        <v/>
      </c>
      <c r="AJ207" s="301" t="str">
        <f t="shared" si="24"/>
        <v/>
      </c>
      <c r="AK207" s="61" t="str">
        <f t="shared" si="25"/>
        <v/>
      </c>
    </row>
    <row r="208" spans="1:37" x14ac:dyDescent="0.3">
      <c r="T208" s="54"/>
      <c r="U208" s="54"/>
      <c r="V208" s="54"/>
      <c r="W208" s="54"/>
      <c r="X208" s="54"/>
      <c r="Y208" s="54"/>
      <c r="Z208" s="54"/>
      <c r="AA208" s="54"/>
      <c r="AB208" s="54"/>
    </row>
    <row r="209" spans="1:28" x14ac:dyDescent="0.3">
      <c r="Q209" s="54"/>
      <c r="T209" s="54"/>
      <c r="U209" s="54"/>
      <c r="V209" s="54"/>
      <c r="W209" s="54"/>
      <c r="X209" s="54"/>
      <c r="Y209" s="54"/>
      <c r="Z209" s="54"/>
      <c r="AA209" s="54"/>
      <c r="AB209" s="54"/>
    </row>
    <row r="210" spans="1:28" ht="18" x14ac:dyDescent="0.35">
      <c r="A210" s="46" t="s">
        <v>529</v>
      </c>
      <c r="B210" s="48"/>
      <c r="C210" s="48"/>
      <c r="D210" s="48"/>
      <c r="E210" s="48"/>
      <c r="F210" s="46" t="s">
        <v>600</v>
      </c>
      <c r="G210" s="46"/>
      <c r="H210" s="48"/>
      <c r="I210" s="48"/>
      <c r="J210" s="48"/>
      <c r="K210" s="48"/>
      <c r="L210" s="48"/>
      <c r="M210" s="48"/>
      <c r="N210" s="48"/>
      <c r="O210" s="48"/>
      <c r="P210" s="48"/>
      <c r="Q210" s="54"/>
      <c r="R210" s="54"/>
      <c r="S210" s="54"/>
      <c r="T210" s="54"/>
      <c r="U210" s="54"/>
      <c r="V210" s="54"/>
      <c r="W210" s="54"/>
      <c r="X210" s="54"/>
      <c r="Y210" s="54"/>
      <c r="Z210" s="54"/>
      <c r="AA210" s="54"/>
      <c r="AB210" s="54"/>
    </row>
    <row r="211" spans="1:28" x14ac:dyDescent="0.3">
      <c r="Q211" s="54"/>
      <c r="R211" s="54"/>
      <c r="S211" s="54"/>
      <c r="T211" s="54"/>
      <c r="U211" s="54"/>
    </row>
    <row r="212" spans="1:28" x14ac:dyDescent="0.3">
      <c r="A212" s="49" t="s">
        <v>328</v>
      </c>
      <c r="B212" s="50"/>
      <c r="C212" s="50"/>
      <c r="D212" s="50"/>
      <c r="E212" s="50"/>
      <c r="F212" s="50"/>
      <c r="G212" s="50"/>
      <c r="H212" s="50"/>
      <c r="I212" s="50"/>
      <c r="J212" s="50"/>
      <c r="K212" s="50"/>
      <c r="L212" s="73" t="s">
        <v>96</v>
      </c>
      <c r="M212" s="50"/>
      <c r="N212" s="73"/>
      <c r="O212" s="50"/>
      <c r="P212" s="50"/>
      <c r="Q212" s="54"/>
      <c r="R212" s="54"/>
      <c r="S212" s="54"/>
      <c r="T212" s="54"/>
      <c r="U212" s="54"/>
    </row>
    <row r="213" spans="1:28" x14ac:dyDescent="0.3">
      <c r="A213" s="51" t="s">
        <v>44</v>
      </c>
      <c r="B213" s="52" t="s">
        <v>707</v>
      </c>
      <c r="C213" s="52"/>
      <c r="D213" s="52"/>
      <c r="E213" s="52"/>
      <c r="F213" s="52"/>
      <c r="G213" s="52"/>
      <c r="H213" s="52"/>
      <c r="I213" s="52"/>
      <c r="J213" s="52"/>
      <c r="K213" s="52"/>
      <c r="L213" s="478"/>
      <c r="M213" s="479"/>
      <c r="N213" s="479"/>
      <c r="O213" s="479"/>
      <c r="P213" s="480"/>
      <c r="Q213" s="239"/>
      <c r="R213" s="54"/>
      <c r="S213" s="54"/>
      <c r="T213" s="54"/>
      <c r="U213" s="54"/>
    </row>
    <row r="214" spans="1:28" x14ac:dyDescent="0.3">
      <c r="A214" s="44" t="s">
        <v>45</v>
      </c>
      <c r="B214" s="233" t="s">
        <v>562</v>
      </c>
      <c r="C214" s="54"/>
      <c r="D214" s="54"/>
      <c r="E214" s="54"/>
      <c r="F214" s="54"/>
      <c r="G214" s="54"/>
      <c r="H214" s="54"/>
      <c r="I214" s="54"/>
      <c r="J214" s="54"/>
      <c r="K214" s="54"/>
      <c r="L214" s="456"/>
      <c r="M214" s="457"/>
      <c r="N214" s="457"/>
      <c r="O214" s="457"/>
      <c r="P214" s="458"/>
      <c r="Q214" s="239"/>
      <c r="R214" s="54"/>
      <c r="S214" s="54"/>
      <c r="T214" s="54"/>
      <c r="U214" s="54"/>
    </row>
    <row r="215" spans="1:28" x14ac:dyDescent="0.3">
      <c r="A215" s="53" t="s">
        <v>46</v>
      </c>
      <c r="B215" s="54" t="s">
        <v>708</v>
      </c>
      <c r="C215" s="54"/>
      <c r="D215" s="54"/>
      <c r="E215" s="54"/>
      <c r="F215" s="54"/>
      <c r="G215" s="54"/>
      <c r="H215" s="54"/>
      <c r="I215" s="54"/>
      <c r="J215" s="54"/>
      <c r="K215" s="54"/>
      <c r="L215" s="456"/>
      <c r="M215" s="457"/>
      <c r="N215" s="457"/>
      <c r="O215" s="457"/>
      <c r="P215" s="458"/>
      <c r="Q215" s="239"/>
      <c r="R215" s="54"/>
      <c r="S215" s="54"/>
      <c r="T215" s="54"/>
      <c r="U215" s="54"/>
    </row>
    <row r="216" spans="1:28" x14ac:dyDescent="0.3">
      <c r="A216" s="53"/>
      <c r="B216" s="54" t="s">
        <v>274</v>
      </c>
      <c r="C216" s="54"/>
      <c r="D216" s="54"/>
      <c r="E216" s="54"/>
      <c r="F216" s="54"/>
      <c r="G216" s="54"/>
      <c r="H216" s="54"/>
      <c r="I216" s="54"/>
      <c r="J216" s="54"/>
      <c r="K216" s="54"/>
      <c r="L216" s="456"/>
      <c r="M216" s="457"/>
      <c r="N216" s="457"/>
      <c r="O216" s="457"/>
      <c r="P216" s="458"/>
      <c r="Q216" s="239"/>
      <c r="R216" s="54"/>
      <c r="S216" s="54"/>
      <c r="T216" s="54"/>
      <c r="U216" s="54"/>
    </row>
    <row r="217" spans="1:28" x14ac:dyDescent="0.3">
      <c r="A217" s="53"/>
      <c r="B217" s="54" t="s">
        <v>709</v>
      </c>
      <c r="C217" s="54"/>
      <c r="D217" s="54"/>
      <c r="E217" s="54"/>
      <c r="F217" s="54"/>
      <c r="G217" s="54"/>
      <c r="H217" s="54"/>
      <c r="I217" s="54"/>
      <c r="J217" s="54"/>
      <c r="K217" s="54"/>
      <c r="L217" s="456"/>
      <c r="M217" s="457"/>
      <c r="N217" s="457"/>
      <c r="O217" s="457"/>
      <c r="P217" s="458"/>
      <c r="Q217" s="239"/>
      <c r="R217" s="54"/>
      <c r="S217" s="54"/>
      <c r="T217" s="54"/>
      <c r="U217" s="54"/>
    </row>
    <row r="218" spans="1:28" x14ac:dyDescent="0.3">
      <c r="A218" s="53"/>
      <c r="B218" s="54" t="s">
        <v>530</v>
      </c>
      <c r="C218" s="54"/>
      <c r="D218" s="54"/>
      <c r="E218" s="54"/>
      <c r="F218" s="54"/>
      <c r="G218" s="54"/>
      <c r="H218" s="54"/>
      <c r="I218" s="54"/>
      <c r="J218" s="54"/>
      <c r="K218" s="54"/>
      <c r="L218" s="456"/>
      <c r="M218" s="457"/>
      <c r="N218" s="457"/>
      <c r="O218" s="457"/>
      <c r="P218" s="458"/>
      <c r="Q218" s="239"/>
      <c r="R218" s="54"/>
      <c r="S218" s="54"/>
      <c r="T218" s="54"/>
      <c r="U218" s="54"/>
    </row>
    <row r="219" spans="1:28" x14ac:dyDescent="0.3">
      <c r="A219" s="53"/>
      <c r="B219" s="54" t="s">
        <v>563</v>
      </c>
      <c r="C219" s="54"/>
      <c r="D219" s="54"/>
      <c r="E219" s="54"/>
      <c r="F219" s="54"/>
      <c r="G219" s="54"/>
      <c r="H219" s="54"/>
      <c r="I219" s="54"/>
      <c r="J219" s="54"/>
      <c r="K219" s="54"/>
      <c r="L219" s="456"/>
      <c r="M219" s="457"/>
      <c r="N219" s="457"/>
      <c r="O219" s="457"/>
      <c r="P219" s="458"/>
      <c r="Q219" s="239"/>
      <c r="R219" s="54"/>
      <c r="S219" s="54"/>
      <c r="T219" s="54"/>
      <c r="U219" s="54"/>
    </row>
    <row r="220" spans="1:28" x14ac:dyDescent="0.3">
      <c r="A220" s="53"/>
      <c r="B220" s="54" t="s">
        <v>710</v>
      </c>
      <c r="C220" s="54"/>
      <c r="D220" s="54"/>
      <c r="E220" s="54"/>
      <c r="F220" s="54"/>
      <c r="G220" s="54"/>
      <c r="H220" s="54"/>
      <c r="I220" s="54"/>
      <c r="J220" s="54"/>
      <c r="K220" s="54"/>
      <c r="L220" s="456"/>
      <c r="M220" s="457"/>
      <c r="N220" s="457"/>
      <c r="O220" s="457"/>
      <c r="P220" s="458"/>
      <c r="Q220" s="239"/>
      <c r="R220" s="54"/>
      <c r="S220" s="54"/>
      <c r="T220" s="54"/>
      <c r="U220" s="54"/>
    </row>
    <row r="221" spans="1:28" x14ac:dyDescent="0.3">
      <c r="A221" s="53"/>
      <c r="B221" s="54" t="s">
        <v>711</v>
      </c>
      <c r="C221" s="54"/>
      <c r="D221" s="54"/>
      <c r="E221" s="54"/>
      <c r="F221" s="54"/>
      <c r="G221" s="54"/>
      <c r="H221" s="54"/>
      <c r="I221" s="54"/>
      <c r="J221" s="54"/>
      <c r="K221" s="54"/>
      <c r="L221" s="456"/>
      <c r="M221" s="457"/>
      <c r="N221" s="457"/>
      <c r="O221" s="457"/>
      <c r="P221" s="458"/>
      <c r="Q221" s="239"/>
      <c r="R221" s="54"/>
      <c r="S221" s="54"/>
      <c r="T221" s="54"/>
      <c r="U221" s="54"/>
    </row>
    <row r="222" spans="1:28" x14ac:dyDescent="0.3">
      <c r="A222" s="53"/>
      <c r="B222" s="54" t="s">
        <v>712</v>
      </c>
      <c r="C222" s="54"/>
      <c r="D222" s="54"/>
      <c r="E222" s="54"/>
      <c r="F222" s="54"/>
      <c r="G222" s="54"/>
      <c r="H222" s="54"/>
      <c r="I222" s="54"/>
      <c r="J222" s="54"/>
      <c r="K222" s="54"/>
      <c r="L222" s="456"/>
      <c r="M222" s="457"/>
      <c r="N222" s="457"/>
      <c r="O222" s="457"/>
      <c r="P222" s="458"/>
      <c r="Q222" s="239"/>
      <c r="R222" s="54"/>
      <c r="S222" s="54"/>
      <c r="T222" s="54"/>
      <c r="U222" s="54"/>
    </row>
    <row r="223" spans="1:28" x14ac:dyDescent="0.3">
      <c r="A223" s="53" t="s">
        <v>47</v>
      </c>
      <c r="B223" s="54" t="s">
        <v>275</v>
      </c>
      <c r="C223" s="54"/>
      <c r="D223" s="54"/>
      <c r="E223" s="54"/>
      <c r="F223" s="54"/>
      <c r="G223" s="54"/>
      <c r="H223" s="54"/>
      <c r="I223" s="54"/>
      <c r="J223" s="54"/>
      <c r="K223" s="54"/>
      <c r="L223" s="456"/>
      <c r="M223" s="457"/>
      <c r="N223" s="457"/>
      <c r="O223" s="457"/>
      <c r="P223" s="458"/>
      <c r="Q223" s="239"/>
      <c r="R223" s="54"/>
      <c r="S223" s="54"/>
      <c r="T223" s="54"/>
      <c r="U223" s="54"/>
    </row>
    <row r="224" spans="1:28" x14ac:dyDescent="0.3">
      <c r="A224" s="53"/>
      <c r="B224" s="184" t="s">
        <v>715</v>
      </c>
      <c r="C224" s="54"/>
      <c r="D224" s="54"/>
      <c r="E224" s="54"/>
      <c r="F224" s="54"/>
      <c r="G224" s="54"/>
      <c r="H224" s="54"/>
      <c r="I224" s="54"/>
      <c r="J224" s="54"/>
      <c r="K224" s="54"/>
      <c r="L224" s="456"/>
      <c r="M224" s="457"/>
      <c r="N224" s="457"/>
      <c r="O224" s="457"/>
      <c r="P224" s="458"/>
      <c r="Q224" s="239"/>
      <c r="R224" s="54"/>
      <c r="S224" s="54"/>
      <c r="T224" s="54"/>
      <c r="U224" s="54"/>
    </row>
    <row r="225" spans="1:33" x14ac:dyDescent="0.3">
      <c r="A225" s="53"/>
      <c r="B225" s="184" t="s">
        <v>716</v>
      </c>
      <c r="C225" s="54"/>
      <c r="D225" s="54"/>
      <c r="E225" s="54"/>
      <c r="F225" s="54"/>
      <c r="G225" s="54"/>
      <c r="H225" s="54"/>
      <c r="I225" s="54"/>
      <c r="J225" s="54"/>
      <c r="K225" s="54"/>
      <c r="L225" s="456"/>
      <c r="M225" s="457"/>
      <c r="N225" s="457"/>
      <c r="O225" s="457"/>
      <c r="P225" s="458"/>
      <c r="Q225" s="239"/>
      <c r="R225" s="54"/>
      <c r="S225" s="54"/>
      <c r="T225" s="54"/>
      <c r="U225" s="54"/>
    </row>
    <row r="226" spans="1:33" x14ac:dyDescent="0.3">
      <c r="A226" s="53"/>
      <c r="B226" s="184" t="s">
        <v>713</v>
      </c>
      <c r="C226" s="54"/>
      <c r="D226" s="54"/>
      <c r="E226" s="54"/>
      <c r="F226" s="54"/>
      <c r="G226" s="54"/>
      <c r="H226" s="54"/>
      <c r="I226" s="54"/>
      <c r="J226" s="54"/>
      <c r="K226" s="54"/>
      <c r="L226" s="456"/>
      <c r="M226" s="457"/>
      <c r="N226" s="457"/>
      <c r="O226" s="457"/>
      <c r="P226" s="458"/>
      <c r="Q226" s="239"/>
      <c r="R226" s="54"/>
      <c r="S226" s="54"/>
      <c r="T226" s="54"/>
      <c r="U226" s="54"/>
    </row>
    <row r="227" spans="1:33" x14ac:dyDescent="0.3">
      <c r="A227" s="53"/>
      <c r="B227" s="54" t="s">
        <v>714</v>
      </c>
      <c r="C227" s="54"/>
      <c r="D227" s="54"/>
      <c r="E227" s="54"/>
      <c r="F227" s="54"/>
      <c r="G227" s="54"/>
      <c r="H227" s="54"/>
      <c r="I227" s="54"/>
      <c r="J227" s="54"/>
      <c r="K227" s="54"/>
      <c r="L227" s="456"/>
      <c r="M227" s="457"/>
      <c r="N227" s="457"/>
      <c r="O227" s="457"/>
      <c r="P227" s="458"/>
      <c r="Q227" s="239"/>
      <c r="R227" s="54"/>
      <c r="S227" s="54"/>
      <c r="T227" s="54"/>
      <c r="U227" s="54"/>
    </row>
    <row r="228" spans="1:33" x14ac:dyDescent="0.3">
      <c r="A228" s="264"/>
      <c r="B228" s="182"/>
      <c r="C228" s="84"/>
      <c r="D228" s="84"/>
      <c r="E228" s="84"/>
      <c r="F228" s="84"/>
      <c r="G228" s="84"/>
      <c r="H228" s="84"/>
      <c r="I228" s="84"/>
      <c r="J228" s="84"/>
      <c r="K228" s="84"/>
      <c r="L228" s="481"/>
      <c r="M228" s="482"/>
      <c r="N228" s="482"/>
      <c r="O228" s="482"/>
      <c r="P228" s="483"/>
      <c r="Q228" s="239"/>
      <c r="R228" s="92"/>
      <c r="S228" s="92"/>
      <c r="T228" s="92"/>
      <c r="U228" s="54"/>
    </row>
    <row r="229" spans="1:33" x14ac:dyDescent="0.3">
      <c r="A229" s="26"/>
      <c r="B229" s="54"/>
      <c r="C229" s="54"/>
      <c r="D229" s="54"/>
      <c r="E229" s="54"/>
      <c r="F229" s="54"/>
      <c r="G229" s="54"/>
      <c r="H229" s="54"/>
      <c r="I229" s="54"/>
      <c r="J229" s="54"/>
      <c r="K229" s="54"/>
      <c r="L229" s="54"/>
      <c r="M229" s="54"/>
      <c r="N229" s="54"/>
      <c r="O229" s="54"/>
      <c r="P229" s="54"/>
      <c r="Q229" s="54"/>
      <c r="R229" s="54"/>
      <c r="S229" s="54"/>
      <c r="T229" s="54"/>
      <c r="U229" s="54"/>
    </row>
    <row r="230" spans="1:33" x14ac:dyDescent="0.3">
      <c r="A230" s="56" t="s">
        <v>329</v>
      </c>
      <c r="B230" s="57"/>
      <c r="C230" s="57"/>
      <c r="D230" s="57"/>
      <c r="E230" s="57"/>
      <c r="F230" s="57"/>
      <c r="G230" s="57"/>
      <c r="H230" s="57"/>
      <c r="I230" s="57"/>
      <c r="J230" s="57"/>
      <c r="K230" s="57"/>
      <c r="L230" s="57"/>
      <c r="M230" s="57"/>
      <c r="N230" s="57"/>
      <c r="O230" s="57"/>
      <c r="P230" s="57"/>
      <c r="Q230" s="54"/>
      <c r="R230" s="54"/>
      <c r="S230" s="54"/>
      <c r="T230" s="54"/>
      <c r="U230" s="54"/>
    </row>
    <row r="231" spans="1:33" x14ac:dyDescent="0.3">
      <c r="P231" s="54"/>
      <c r="Q231" s="54"/>
      <c r="R231" s="54"/>
      <c r="S231" s="54"/>
      <c r="T231" s="54"/>
      <c r="U231" s="54"/>
    </row>
    <row r="232" spans="1:33" x14ac:dyDescent="0.3">
      <c r="A232" s="133" t="str">
        <f>IF(Oplysningsside!$B$15="",1,Oplysningsside!$B$15)</f>
        <v>C bue</v>
      </c>
      <c r="B232" s="289" t="s">
        <v>484</v>
      </c>
      <c r="C232" s="234"/>
      <c r="D232" s="234"/>
      <c r="E232" s="234"/>
      <c r="F232" s="234"/>
      <c r="G232" s="234"/>
      <c r="H232" s="257"/>
      <c r="I232" s="110"/>
      <c r="J232" s="234" t="s">
        <v>118</v>
      </c>
      <c r="K232" s="234"/>
      <c r="L232" s="234"/>
      <c r="M232" s="234"/>
      <c r="N232" s="237"/>
      <c r="O232" s="187"/>
      <c r="P232" s="211"/>
      <c r="Q232" s="54"/>
      <c r="AF232" s="187"/>
      <c r="AG232" s="211"/>
    </row>
    <row r="233" spans="1:33" x14ac:dyDescent="0.3">
      <c r="A233" s="114"/>
      <c r="B233" s="266" t="s">
        <v>259</v>
      </c>
      <c r="C233" s="233"/>
      <c r="D233" s="233"/>
      <c r="E233" s="233"/>
      <c r="F233" s="233"/>
      <c r="G233" s="233"/>
      <c r="H233" s="233"/>
      <c r="I233" s="114"/>
      <c r="J233" s="233" t="str">
        <f>IF($A$232="","",IF($A$232="Mini C bue","Ydre filter [mm Al]","Ydre filter [mm Cu]"))</f>
        <v>Ydre filter [mm Cu]</v>
      </c>
      <c r="K233" s="233"/>
      <c r="L233" s="233"/>
      <c r="M233" s="233"/>
      <c r="N233" s="246"/>
      <c r="O233" s="186"/>
      <c r="P233" s="209"/>
      <c r="AF233" s="186"/>
      <c r="AG233" s="209"/>
    </row>
    <row r="234" spans="1:33" x14ac:dyDescent="0.3">
      <c r="A234" s="114"/>
      <c r="B234" s="233" t="s">
        <v>277</v>
      </c>
      <c r="C234" s="233"/>
      <c r="D234" s="233"/>
      <c r="E234" s="233"/>
      <c r="F234" s="233"/>
      <c r="G234" s="233"/>
      <c r="H234" s="233"/>
      <c r="I234" s="242" t="s">
        <v>720</v>
      </c>
      <c r="J234" s="346" t="s">
        <v>722</v>
      </c>
      <c r="K234" s="233"/>
      <c r="L234" s="233"/>
      <c r="M234" s="233"/>
      <c r="N234" s="246"/>
      <c r="O234" s="212"/>
      <c r="P234" s="209"/>
      <c r="AF234" s="212"/>
      <c r="AG234" s="209"/>
    </row>
    <row r="235" spans="1:33" x14ac:dyDescent="0.3">
      <c r="A235" s="114"/>
      <c r="B235" s="266" t="s">
        <v>276</v>
      </c>
      <c r="C235" s="233"/>
      <c r="D235" s="233"/>
      <c r="E235" s="233"/>
      <c r="F235" s="233"/>
      <c r="G235" s="233"/>
      <c r="H235" s="233"/>
      <c r="I235" s="114"/>
      <c r="J235" s="266" t="s">
        <v>496</v>
      </c>
      <c r="K235" s="233"/>
      <c r="L235" s="233"/>
      <c r="M235" s="233"/>
      <c r="N235" s="246"/>
      <c r="O235" s="212"/>
      <c r="P235" s="209"/>
      <c r="AF235" s="212"/>
      <c r="AG235" s="209"/>
    </row>
    <row r="236" spans="1:33" x14ac:dyDescent="0.3">
      <c r="A236" s="114"/>
      <c r="B236" s="266" t="s">
        <v>473</v>
      </c>
      <c r="C236" s="233"/>
      <c r="D236" s="233"/>
      <c r="E236" s="233"/>
      <c r="F236" s="233"/>
      <c r="G236" s="233"/>
      <c r="H236" s="233"/>
      <c r="I236" s="209"/>
      <c r="J236" s="239"/>
      <c r="K236" s="233"/>
      <c r="L236" s="233"/>
      <c r="M236" s="233"/>
      <c r="N236" s="246"/>
      <c r="O236" s="59" t="s">
        <v>103</v>
      </c>
      <c r="P236" s="209"/>
      <c r="AF236" s="59" t="s">
        <v>103</v>
      </c>
      <c r="AG236" s="209"/>
    </row>
    <row r="237" spans="1:33" x14ac:dyDescent="0.3">
      <c r="A237" s="114"/>
      <c r="B237" s="268" t="s">
        <v>135</v>
      </c>
      <c r="C237" s="233"/>
      <c r="D237" s="262"/>
      <c r="E237" s="233"/>
      <c r="F237" s="233"/>
      <c r="G237" s="233"/>
      <c r="H237" s="233"/>
      <c r="I237" s="209"/>
      <c r="K237" s="233"/>
      <c r="L237" s="233"/>
      <c r="M237" s="233"/>
      <c r="N237" s="246"/>
      <c r="O237" s="59" t="s">
        <v>104</v>
      </c>
      <c r="P237" s="209"/>
      <c r="AF237" s="59" t="s">
        <v>104</v>
      </c>
      <c r="AG237" s="209"/>
    </row>
    <row r="238" spans="1:33" x14ac:dyDescent="0.3">
      <c r="A238" s="241"/>
      <c r="B238" s="146"/>
      <c r="C238" s="233"/>
      <c r="D238" s="262"/>
      <c r="E238" s="233"/>
      <c r="F238" s="233"/>
      <c r="G238" s="233"/>
      <c r="H238" s="233"/>
      <c r="I238" s="209"/>
      <c r="J238" s="54"/>
      <c r="K238" s="233"/>
      <c r="L238" s="233"/>
      <c r="M238" s="233"/>
      <c r="N238" s="246"/>
      <c r="O238" s="59" t="s">
        <v>105</v>
      </c>
      <c r="P238" s="209"/>
      <c r="AF238" s="59" t="s">
        <v>105</v>
      </c>
      <c r="AG238" s="209"/>
    </row>
    <row r="239" spans="1:33" x14ac:dyDescent="0.3">
      <c r="A239" s="209"/>
      <c r="B239" s="233"/>
      <c r="C239" s="233"/>
      <c r="D239" s="262"/>
      <c r="E239" s="233"/>
      <c r="F239" s="233"/>
      <c r="G239" s="233"/>
      <c r="H239" s="233"/>
      <c r="I239" s="209"/>
      <c r="J239" s="54"/>
      <c r="K239" s="233"/>
      <c r="L239" s="233"/>
      <c r="M239" s="233"/>
      <c r="N239" s="246"/>
      <c r="O239" s="59" t="s">
        <v>122</v>
      </c>
      <c r="P239" s="209"/>
      <c r="AF239" s="59" t="s">
        <v>122</v>
      </c>
      <c r="AG239" s="209"/>
    </row>
    <row r="240" spans="1:33" x14ac:dyDescent="0.3">
      <c r="A240" s="243"/>
      <c r="B240" s="291" t="s">
        <v>498</v>
      </c>
      <c r="C240" s="182"/>
      <c r="D240" s="182"/>
      <c r="E240" s="182"/>
      <c r="F240" s="182"/>
      <c r="G240" s="182"/>
      <c r="H240" s="182"/>
      <c r="I240" s="213"/>
      <c r="J240" s="77"/>
      <c r="K240" s="182"/>
      <c r="L240" s="182"/>
      <c r="M240" s="182"/>
      <c r="N240" s="252"/>
      <c r="O240" s="76"/>
      <c r="P240" s="213"/>
      <c r="R240" s="26" t="s">
        <v>499</v>
      </c>
      <c r="AF240" s="76"/>
      <c r="AG240" s="213"/>
    </row>
    <row r="241" spans="1:33" x14ac:dyDescent="0.3">
      <c r="A241" s="58" t="s">
        <v>48</v>
      </c>
      <c r="B241" s="196" t="s">
        <v>62</v>
      </c>
      <c r="C241" s="197"/>
      <c r="D241" s="198"/>
      <c r="E241" s="58" t="s">
        <v>113</v>
      </c>
      <c r="F241" s="58" t="s">
        <v>52</v>
      </c>
      <c r="G241" s="59" t="s">
        <v>761</v>
      </c>
      <c r="H241" s="58" t="s">
        <v>59</v>
      </c>
      <c r="I241" s="58" t="s">
        <v>50</v>
      </c>
      <c r="J241" s="58" t="s">
        <v>51</v>
      </c>
      <c r="K241" s="58" t="s">
        <v>307</v>
      </c>
      <c r="L241" s="58" t="s">
        <v>307</v>
      </c>
      <c r="M241" s="58" t="s">
        <v>102</v>
      </c>
      <c r="N241" s="303" t="s">
        <v>67</v>
      </c>
      <c r="O241" s="58" t="s">
        <v>307</v>
      </c>
      <c r="P241" s="58" t="s">
        <v>386</v>
      </c>
      <c r="R241" s="58" t="s">
        <v>48</v>
      </c>
      <c r="S241" s="196" t="s">
        <v>62</v>
      </c>
      <c r="T241" s="197"/>
      <c r="U241" s="198"/>
      <c r="V241" s="58" t="s">
        <v>113</v>
      </c>
      <c r="W241" s="58" t="s">
        <v>52</v>
      </c>
      <c r="X241" s="58" t="s">
        <v>59</v>
      </c>
      <c r="Y241" s="58" t="s">
        <v>761</v>
      </c>
      <c r="Z241" s="58" t="s">
        <v>50</v>
      </c>
      <c r="AA241" s="58" t="s">
        <v>51</v>
      </c>
      <c r="AB241" s="58" t="s">
        <v>307</v>
      </c>
      <c r="AC241" s="58" t="s">
        <v>307</v>
      </c>
      <c r="AD241" s="58" t="s">
        <v>102</v>
      </c>
      <c r="AE241" s="303" t="s">
        <v>67</v>
      </c>
      <c r="AF241" s="58" t="s">
        <v>307</v>
      </c>
      <c r="AG241" s="58" t="s">
        <v>386</v>
      </c>
    </row>
    <row r="242" spans="1:33" x14ac:dyDescent="0.3">
      <c r="A242" s="59"/>
      <c r="B242" s="189" t="s">
        <v>49</v>
      </c>
      <c r="C242" s="50"/>
      <c r="D242" s="190"/>
      <c r="E242" s="59" t="s">
        <v>114</v>
      </c>
      <c r="F242" s="59" t="s">
        <v>54</v>
      </c>
      <c r="G242" s="59" t="s">
        <v>762</v>
      </c>
      <c r="H242" s="178" t="str">
        <f>IF($A$236="","",IF($A$236="rektangulær","kant/diagonal","diameter"))</f>
        <v/>
      </c>
      <c r="I242" s="59"/>
      <c r="J242" s="59"/>
      <c r="K242" s="178" t="str">
        <f>IF($I$235="","",$I$235)</f>
        <v/>
      </c>
      <c r="L242" s="178" t="s">
        <v>434</v>
      </c>
      <c r="M242" s="59" t="s">
        <v>124</v>
      </c>
      <c r="N242" s="178"/>
      <c r="O242" s="178" t="s">
        <v>434</v>
      </c>
      <c r="P242" s="59" t="s">
        <v>387</v>
      </c>
      <c r="R242" s="59"/>
      <c r="S242" s="189" t="s">
        <v>49</v>
      </c>
      <c r="T242" s="50"/>
      <c r="U242" s="190"/>
      <c r="V242" s="59" t="s">
        <v>114</v>
      </c>
      <c r="W242" s="59" t="s">
        <v>54</v>
      </c>
      <c r="X242" s="178" t="str">
        <f>IF($A$236="","",IF($A$236="rektangulær","kant/diagonal","diameter"))</f>
        <v/>
      </c>
      <c r="Y242" s="59" t="s">
        <v>762</v>
      </c>
      <c r="Z242" s="59"/>
      <c r="AA242" s="59"/>
      <c r="AB242" s="178" t="str">
        <f>IF($I$235="","",$I$235)</f>
        <v/>
      </c>
      <c r="AC242" s="178" t="s">
        <v>434</v>
      </c>
      <c r="AD242" s="59" t="s">
        <v>124</v>
      </c>
      <c r="AE242" s="178"/>
      <c r="AF242" s="178" t="str">
        <f>IF($I$235="","",$I$235)</f>
        <v/>
      </c>
      <c r="AG242" s="59" t="s">
        <v>387</v>
      </c>
    </row>
    <row r="243" spans="1:33" x14ac:dyDescent="0.3">
      <c r="A243" s="60"/>
      <c r="B243" s="191"/>
      <c r="C243" s="57"/>
      <c r="D243" s="192"/>
      <c r="E243" s="60"/>
      <c r="F243" s="60"/>
      <c r="G243" s="60"/>
      <c r="H243" s="60" t="s">
        <v>60</v>
      </c>
      <c r="I243" s="60"/>
      <c r="J243" s="60"/>
      <c r="K243" s="60" t="s">
        <v>63</v>
      </c>
      <c r="L243" s="60" t="s">
        <v>261</v>
      </c>
      <c r="M243" s="60" t="s">
        <v>58</v>
      </c>
      <c r="N243" s="304" t="s">
        <v>128</v>
      </c>
      <c r="O243" s="60" t="s">
        <v>105</v>
      </c>
      <c r="P243" s="60" t="s">
        <v>130</v>
      </c>
      <c r="R243" s="60"/>
      <c r="S243" s="191"/>
      <c r="T243" s="57"/>
      <c r="U243" s="192"/>
      <c r="V243" s="60"/>
      <c r="W243" s="60"/>
      <c r="X243" s="60" t="s">
        <v>60</v>
      </c>
      <c r="Y243" s="60"/>
      <c r="Z243" s="60"/>
      <c r="AA243" s="60"/>
      <c r="AB243" s="60" t="s">
        <v>63</v>
      </c>
      <c r="AC243" s="60" t="s">
        <v>261</v>
      </c>
      <c r="AD243" s="60" t="s">
        <v>58</v>
      </c>
      <c r="AE243" s="304" t="s">
        <v>128</v>
      </c>
      <c r="AF243" s="60" t="s">
        <v>105</v>
      </c>
      <c r="AG243" s="60" t="s">
        <v>130</v>
      </c>
    </row>
    <row r="244" spans="1:33" x14ac:dyDescent="0.3">
      <c r="A244" s="61">
        <v>1</v>
      </c>
      <c r="B244" s="397"/>
      <c r="C244" s="468"/>
      <c r="D244" s="398"/>
      <c r="E244" s="90"/>
      <c r="F244" s="90"/>
      <c r="G244" s="90"/>
      <c r="H244" s="90"/>
      <c r="I244" s="90"/>
      <c r="J244" s="90"/>
      <c r="K244" s="90"/>
      <c r="L244" s="283" t="str">
        <f>IF(OR($A$237="",$I$235="",K244=""),"",IF($A$237="SSD detektor",K244*VLOOKUP($I$235,Data!$L$46:$M$50,2,FALSE),K244/1.2*VLOOKUP($I$235,Data!$L$46:$M$50,2,FALSE)))</f>
        <v/>
      </c>
      <c r="M244" s="204" t="str">
        <f>IF(OR($A$237="",$I$232="",$I$235="",K244="",O244=""),"",ABS(L244/O244-1)*100)</f>
        <v/>
      </c>
      <c r="N244" s="61" t="str">
        <f>IF(OR($A$237="",$I$232="",$I$235="",K244="",O244=""),"",IF(M244&gt;25,"IKKE OK","OK"))</f>
        <v/>
      </c>
      <c r="O244" s="90"/>
      <c r="P244" s="90"/>
      <c r="R244" s="61">
        <v>1</v>
      </c>
      <c r="S244" s="397"/>
      <c r="T244" s="468"/>
      <c r="U244" s="398"/>
      <c r="V244" s="90"/>
      <c r="W244" s="90"/>
      <c r="X244" s="90"/>
      <c r="Y244" s="90"/>
      <c r="Z244" s="90"/>
      <c r="AA244" s="90"/>
      <c r="AB244" s="90"/>
      <c r="AC244" s="283" t="str">
        <f>IF(OR($A$237="",$I$235="",AB244=""),"",IF($A$237="SSD detektor",AB244*VLOOKUP($I$235,Data!$L$46:$M$50,2,FALSE),AB244/1.2*VLOOKUP($I$235,Data!$L$46:$M$50,2,FALSE)))</f>
        <v/>
      </c>
      <c r="AD244" s="204" t="str">
        <f>IF(OR($A$237="",$I$232="",$I$235="",AB244="",AF244=""),"",ABS(AC244/AF244-1)*100)</f>
        <v/>
      </c>
      <c r="AE244" s="61" t="str">
        <f>IF(OR($A$237="",$I$232="",$I$235="",AB244="",AF244=""),"",IF(AD244&gt;25,"IKKE OK","OK"))</f>
        <v/>
      </c>
      <c r="AF244" s="90"/>
      <c r="AG244" s="90"/>
    </row>
    <row r="245" spans="1:33" x14ac:dyDescent="0.3">
      <c r="A245" s="61">
        <v>2</v>
      </c>
      <c r="B245" s="397"/>
      <c r="C245" s="468"/>
      <c r="D245" s="398"/>
      <c r="E245" s="90"/>
      <c r="F245" s="90"/>
      <c r="G245" s="90"/>
      <c r="H245" s="90"/>
      <c r="I245" s="90"/>
      <c r="J245" s="90"/>
      <c r="K245" s="90"/>
      <c r="L245" s="283" t="str">
        <f>IF(OR($A$237="",$I$235="",K245=""),"",IF($A$237="SSD detektor",K245*VLOOKUP($I$235,Data!$L$46:$M$50,2,FALSE),K245/1.2*VLOOKUP($I$235,Data!$L$46:$M$50,2,FALSE)))</f>
        <v/>
      </c>
      <c r="M245" s="204" t="str">
        <f t="shared" ref="M245:M263" si="27">IF(OR($A$237="",$I$232="",$I$235="",K245="",O245=""),"",ABS(L245/O245-1)*100)</f>
        <v/>
      </c>
      <c r="N245" s="61" t="str">
        <f t="shared" ref="N245:N263" si="28">IF(OR($A$237="",$I$232="",$I$235="",K245="",O245=""),"",IF(M245&gt;25,"IKKE OK","OK"))</f>
        <v/>
      </c>
      <c r="O245" s="90"/>
      <c r="P245" s="90"/>
      <c r="R245" s="61">
        <v>2</v>
      </c>
      <c r="S245" s="397"/>
      <c r="T245" s="468"/>
      <c r="U245" s="398"/>
      <c r="V245" s="90"/>
      <c r="W245" s="90"/>
      <c r="X245" s="90"/>
      <c r="Y245" s="90"/>
      <c r="Z245" s="90"/>
      <c r="AA245" s="90"/>
      <c r="AB245" s="90"/>
      <c r="AC245" s="283" t="str">
        <f>IF(OR($A$237="",$I$235="",AB245=""),"",IF($A$237="SSD detektor",AB245*VLOOKUP($I$235,Data!$L$46:$M$50,2,FALSE),AB245/1.2*VLOOKUP($I$235,Data!$L$46:$M$50,2,FALSE)))</f>
        <v/>
      </c>
      <c r="AD245" s="204" t="str">
        <f t="shared" ref="AD245:AD263" si="29">IF(OR($A$237="",$I$232="",$I$235="",AB245="",AF245=""),"",ABS(AC245/AF245-1)*100)</f>
        <v/>
      </c>
      <c r="AE245" s="61" t="str">
        <f t="shared" ref="AE245:AE263" si="30">IF(OR($A$237="",$I$232="",$I$235="",AB245="",AF245=""),"",IF(AD245&gt;25,"IKKE OK","OK"))</f>
        <v/>
      </c>
      <c r="AF245" s="90"/>
      <c r="AG245" s="90"/>
    </row>
    <row r="246" spans="1:33" x14ac:dyDescent="0.3">
      <c r="A246" s="61">
        <v>3</v>
      </c>
      <c r="B246" s="397"/>
      <c r="C246" s="468"/>
      <c r="D246" s="398"/>
      <c r="E246" s="90"/>
      <c r="F246" s="90"/>
      <c r="G246" s="90"/>
      <c r="H246" s="90"/>
      <c r="I246" s="90"/>
      <c r="J246" s="90"/>
      <c r="K246" s="90"/>
      <c r="L246" s="283" t="str">
        <f>IF(OR($A$237="",$I$235="",K246=""),"",IF($A$237="SSD detektor",K246*VLOOKUP($I$235,Data!$L$46:$M$50,2,FALSE),K246/1.2*VLOOKUP($I$235,Data!$L$46:$M$50,2,FALSE)))</f>
        <v/>
      </c>
      <c r="M246" s="204" t="str">
        <f t="shared" si="27"/>
        <v/>
      </c>
      <c r="N246" s="61" t="str">
        <f t="shared" si="28"/>
        <v/>
      </c>
      <c r="O246" s="90"/>
      <c r="P246" s="90"/>
      <c r="R246" s="61">
        <v>3</v>
      </c>
      <c r="S246" s="397"/>
      <c r="T246" s="468"/>
      <c r="U246" s="398"/>
      <c r="V246" s="90"/>
      <c r="W246" s="90"/>
      <c r="X246" s="90"/>
      <c r="Y246" s="90"/>
      <c r="Z246" s="90"/>
      <c r="AA246" s="90"/>
      <c r="AB246" s="90"/>
      <c r="AC246" s="283" t="str">
        <f>IF(OR($A$237="",$I$235="",AB246=""),"",IF($A$237="SSD detektor",AB246*VLOOKUP($I$235,Data!$L$46:$M$50,2,FALSE),AB246/1.2*VLOOKUP($I$235,Data!$L$46:$M$50,2,FALSE)))</f>
        <v/>
      </c>
      <c r="AD246" s="204" t="str">
        <f t="shared" si="29"/>
        <v/>
      </c>
      <c r="AE246" s="61" t="str">
        <f t="shared" si="30"/>
        <v/>
      </c>
      <c r="AF246" s="90"/>
      <c r="AG246" s="90"/>
    </row>
    <row r="247" spans="1:33" x14ac:dyDescent="0.3">
      <c r="A247" s="61">
        <v>4</v>
      </c>
      <c r="B247" s="397"/>
      <c r="C247" s="468"/>
      <c r="D247" s="398"/>
      <c r="E247" s="90"/>
      <c r="F247" s="116"/>
      <c r="G247" s="116"/>
      <c r="H247" s="90"/>
      <c r="I247" s="90"/>
      <c r="J247" s="90"/>
      <c r="K247" s="90"/>
      <c r="L247" s="283" t="str">
        <f>IF(OR($A$237="",$I$235="",K247=""),"",IF($A$237="SSD detektor",K247*VLOOKUP($I$235,Data!$L$46:$M$50,2,FALSE),K247/1.2*VLOOKUP($I$235,Data!$L$46:$M$50,2,FALSE)))</f>
        <v/>
      </c>
      <c r="M247" s="204" t="str">
        <f t="shared" si="27"/>
        <v/>
      </c>
      <c r="N247" s="61" t="str">
        <f t="shared" si="28"/>
        <v/>
      </c>
      <c r="O247" s="90"/>
      <c r="P247" s="90"/>
      <c r="R247" s="61">
        <v>4</v>
      </c>
      <c r="S247" s="397"/>
      <c r="T247" s="468"/>
      <c r="U247" s="398"/>
      <c r="V247" s="90"/>
      <c r="W247" s="116"/>
      <c r="X247" s="90"/>
      <c r="Y247" s="90"/>
      <c r="Z247" s="90"/>
      <c r="AA247" s="90"/>
      <c r="AB247" s="90"/>
      <c r="AC247" s="283" t="str">
        <f>IF(OR($A$237="",$I$235="",AB247=""),"",IF($A$237="SSD detektor",AB247*VLOOKUP($I$235,Data!$L$46:$M$50,2,FALSE),AB247/1.2*VLOOKUP($I$235,Data!$L$46:$M$50,2,FALSE)))</f>
        <v/>
      </c>
      <c r="AD247" s="204" t="str">
        <f t="shared" si="29"/>
        <v/>
      </c>
      <c r="AE247" s="61" t="str">
        <f t="shared" si="30"/>
        <v/>
      </c>
      <c r="AF247" s="90"/>
      <c r="AG247" s="90"/>
    </row>
    <row r="248" spans="1:33" x14ac:dyDescent="0.3">
      <c r="A248" s="61">
        <v>5</v>
      </c>
      <c r="B248" s="397"/>
      <c r="C248" s="468"/>
      <c r="D248" s="398"/>
      <c r="E248" s="90"/>
      <c r="F248" s="90"/>
      <c r="G248" s="90"/>
      <c r="H248" s="90"/>
      <c r="I248" s="90"/>
      <c r="J248" s="90"/>
      <c r="K248" s="90"/>
      <c r="L248" s="283" t="str">
        <f>IF(OR($A$237="",$I$235="",K248=""),"",IF($A$237="SSD detektor",K248*VLOOKUP($I$235,Data!$L$46:$M$50,2,FALSE),K248/1.2*VLOOKUP($I$235,Data!$L$46:$M$50,2,FALSE)))</f>
        <v/>
      </c>
      <c r="M248" s="204" t="str">
        <f t="shared" si="27"/>
        <v/>
      </c>
      <c r="N248" s="61" t="str">
        <f t="shared" si="28"/>
        <v/>
      </c>
      <c r="O248" s="90"/>
      <c r="P248" s="90"/>
      <c r="R248" s="61">
        <v>5</v>
      </c>
      <c r="S248" s="397"/>
      <c r="T248" s="468"/>
      <c r="U248" s="398"/>
      <c r="V248" s="90"/>
      <c r="W248" s="90"/>
      <c r="X248" s="90"/>
      <c r="Y248" s="90"/>
      <c r="Z248" s="90"/>
      <c r="AA248" s="90"/>
      <c r="AB248" s="90"/>
      <c r="AC248" s="283" t="str">
        <f>IF(OR($A$237="",$I$235="",AB248=""),"",IF($A$237="SSD detektor",AB248*VLOOKUP($I$235,Data!$L$46:$M$50,2,FALSE),AB248/1.2*VLOOKUP($I$235,Data!$L$46:$M$50,2,FALSE)))</f>
        <v/>
      </c>
      <c r="AD248" s="204" t="str">
        <f t="shared" si="29"/>
        <v/>
      </c>
      <c r="AE248" s="61" t="str">
        <f t="shared" si="30"/>
        <v/>
      </c>
      <c r="AF248" s="90"/>
      <c r="AG248" s="90"/>
    </row>
    <row r="249" spans="1:33" x14ac:dyDescent="0.3">
      <c r="A249" s="61">
        <v>6</v>
      </c>
      <c r="B249" s="397"/>
      <c r="C249" s="468"/>
      <c r="D249" s="398"/>
      <c r="E249" s="90"/>
      <c r="F249" s="90"/>
      <c r="G249" s="90"/>
      <c r="H249" s="90"/>
      <c r="I249" s="90"/>
      <c r="J249" s="90"/>
      <c r="K249" s="90"/>
      <c r="L249" s="283" t="str">
        <f>IF(OR($A$237="",$I$235="",K249=""),"",IF($A$237="SSD detektor",K249*VLOOKUP($I$235,Data!$L$46:$M$50,2,FALSE),K249/1.2*VLOOKUP($I$235,Data!$L$46:$M$50,2,FALSE)))</f>
        <v/>
      </c>
      <c r="M249" s="204" t="str">
        <f t="shared" si="27"/>
        <v/>
      </c>
      <c r="N249" s="61" t="str">
        <f t="shared" si="28"/>
        <v/>
      </c>
      <c r="O249" s="90"/>
      <c r="P249" s="90"/>
      <c r="R249" s="61">
        <v>6</v>
      </c>
      <c r="S249" s="397"/>
      <c r="T249" s="468"/>
      <c r="U249" s="398"/>
      <c r="V249" s="90"/>
      <c r="W249" s="90"/>
      <c r="X249" s="90"/>
      <c r="Y249" s="90"/>
      <c r="Z249" s="90"/>
      <c r="AA249" s="90"/>
      <c r="AB249" s="90"/>
      <c r="AC249" s="283" t="str">
        <f>IF(OR($A$237="",$I$235="",AB249=""),"",IF($A$237="SSD detektor",AB249*VLOOKUP($I$235,Data!$L$46:$M$50,2,FALSE),AB249/1.2*VLOOKUP($I$235,Data!$L$46:$M$50,2,FALSE)))</f>
        <v/>
      </c>
      <c r="AD249" s="204" t="str">
        <f t="shared" si="29"/>
        <v/>
      </c>
      <c r="AE249" s="61" t="str">
        <f t="shared" si="30"/>
        <v/>
      </c>
      <c r="AF249" s="90"/>
      <c r="AG249" s="90"/>
    </row>
    <row r="250" spans="1:33" x14ac:dyDescent="0.3">
      <c r="A250" s="61">
        <v>7</v>
      </c>
      <c r="B250" s="397"/>
      <c r="C250" s="468"/>
      <c r="D250" s="398"/>
      <c r="E250" s="90"/>
      <c r="F250" s="90"/>
      <c r="G250" s="90"/>
      <c r="H250" s="90"/>
      <c r="I250" s="90"/>
      <c r="J250" s="90"/>
      <c r="K250" s="90"/>
      <c r="L250" s="283" t="str">
        <f>IF(OR($A$237="",$I$235="",K250=""),"",IF($A$237="SSD detektor",K250*VLOOKUP($I$235,Data!$L$46:$M$50,2,FALSE),K250/1.2*VLOOKUP($I$235,Data!$L$46:$M$50,2,FALSE)))</f>
        <v/>
      </c>
      <c r="M250" s="204" t="str">
        <f t="shared" si="27"/>
        <v/>
      </c>
      <c r="N250" s="61" t="str">
        <f t="shared" si="28"/>
        <v/>
      </c>
      <c r="O250" s="90"/>
      <c r="P250" s="90"/>
      <c r="R250" s="61">
        <v>7</v>
      </c>
      <c r="S250" s="397"/>
      <c r="T250" s="468"/>
      <c r="U250" s="398"/>
      <c r="V250" s="90"/>
      <c r="W250" s="90"/>
      <c r="X250" s="90"/>
      <c r="Y250" s="90"/>
      <c r="Z250" s="90"/>
      <c r="AA250" s="90"/>
      <c r="AB250" s="90"/>
      <c r="AC250" s="283" t="str">
        <f>IF(OR($A$237="",$I$235="",AB250=""),"",IF($A$237="SSD detektor",AB250*VLOOKUP($I$235,Data!$L$46:$M$50,2,FALSE),AB250/1.2*VLOOKUP($I$235,Data!$L$46:$M$50,2,FALSE)))</f>
        <v/>
      </c>
      <c r="AD250" s="204" t="str">
        <f t="shared" si="29"/>
        <v/>
      </c>
      <c r="AE250" s="61" t="str">
        <f t="shared" si="30"/>
        <v/>
      </c>
      <c r="AF250" s="90"/>
      <c r="AG250" s="90"/>
    </row>
    <row r="251" spans="1:33" x14ac:dyDescent="0.3">
      <c r="A251" s="61">
        <v>8</v>
      </c>
      <c r="B251" s="397"/>
      <c r="C251" s="468"/>
      <c r="D251" s="398"/>
      <c r="E251" s="90"/>
      <c r="F251" s="116"/>
      <c r="G251" s="116"/>
      <c r="H251" s="90"/>
      <c r="I251" s="90"/>
      <c r="J251" s="90"/>
      <c r="K251" s="90"/>
      <c r="L251" s="283" t="str">
        <f>IF(OR($A$237="",$I$235="",K251=""),"",IF($A$237="SSD detektor",K251*VLOOKUP($I$235,Data!$L$46:$M$50,2,FALSE),K251/1.2*VLOOKUP($I$235,Data!$L$46:$M$50,2,FALSE)))</f>
        <v/>
      </c>
      <c r="M251" s="204" t="str">
        <f t="shared" si="27"/>
        <v/>
      </c>
      <c r="N251" s="61" t="str">
        <f t="shared" si="28"/>
        <v/>
      </c>
      <c r="O251" s="90"/>
      <c r="P251" s="90"/>
      <c r="R251" s="61">
        <v>8</v>
      </c>
      <c r="S251" s="397"/>
      <c r="T251" s="468"/>
      <c r="U251" s="398"/>
      <c r="V251" s="90"/>
      <c r="W251" s="116"/>
      <c r="X251" s="90"/>
      <c r="Y251" s="90"/>
      <c r="Z251" s="90"/>
      <c r="AA251" s="90"/>
      <c r="AB251" s="90"/>
      <c r="AC251" s="283" t="str">
        <f>IF(OR($A$237="",$I$235="",AB251=""),"",IF($A$237="SSD detektor",AB251*VLOOKUP($I$235,Data!$L$46:$M$50,2,FALSE),AB251/1.2*VLOOKUP($I$235,Data!$L$46:$M$50,2,FALSE)))</f>
        <v/>
      </c>
      <c r="AD251" s="204" t="str">
        <f t="shared" si="29"/>
        <v/>
      </c>
      <c r="AE251" s="61" t="str">
        <f t="shared" si="30"/>
        <v/>
      </c>
      <c r="AF251" s="90"/>
      <c r="AG251" s="90"/>
    </row>
    <row r="252" spans="1:33" x14ac:dyDescent="0.3">
      <c r="A252" s="61">
        <v>9</v>
      </c>
      <c r="B252" s="397"/>
      <c r="C252" s="468"/>
      <c r="D252" s="398"/>
      <c r="E252" s="90"/>
      <c r="F252" s="116"/>
      <c r="G252" s="116"/>
      <c r="H252" s="90"/>
      <c r="I252" s="90"/>
      <c r="J252" s="90"/>
      <c r="K252" s="90"/>
      <c r="L252" s="283" t="str">
        <f>IF(OR($A$237="",$I$235="",K252=""),"",IF($A$237="SSD detektor",K252*VLOOKUP($I$235,Data!$L$46:$M$50,2,FALSE),K252/1.2*VLOOKUP($I$235,Data!$L$46:$M$50,2,FALSE)))</f>
        <v/>
      </c>
      <c r="M252" s="204" t="str">
        <f t="shared" si="27"/>
        <v/>
      </c>
      <c r="N252" s="61" t="str">
        <f t="shared" si="28"/>
        <v/>
      </c>
      <c r="O252" s="90"/>
      <c r="P252" s="90"/>
      <c r="R252" s="61">
        <v>9</v>
      </c>
      <c r="S252" s="397"/>
      <c r="T252" s="468"/>
      <c r="U252" s="398"/>
      <c r="V252" s="90"/>
      <c r="W252" s="116"/>
      <c r="X252" s="90"/>
      <c r="Y252" s="90"/>
      <c r="Z252" s="90"/>
      <c r="AA252" s="90"/>
      <c r="AB252" s="90"/>
      <c r="AC252" s="283" t="str">
        <f>IF(OR($A$237="",$I$235="",AB252=""),"",IF($A$237="SSD detektor",AB252*VLOOKUP($I$235,Data!$L$46:$M$50,2,FALSE),AB252/1.2*VLOOKUP($I$235,Data!$L$46:$M$50,2,FALSE)))</f>
        <v/>
      </c>
      <c r="AD252" s="204" t="str">
        <f t="shared" si="29"/>
        <v/>
      </c>
      <c r="AE252" s="61" t="str">
        <f t="shared" si="30"/>
        <v/>
      </c>
      <c r="AF252" s="90"/>
      <c r="AG252" s="90"/>
    </row>
    <row r="253" spans="1:33" x14ac:dyDescent="0.3">
      <c r="A253" s="61">
        <v>10</v>
      </c>
      <c r="B253" s="397"/>
      <c r="C253" s="468"/>
      <c r="D253" s="398"/>
      <c r="E253" s="90"/>
      <c r="F253" s="116"/>
      <c r="G253" s="116"/>
      <c r="H253" s="90"/>
      <c r="I253" s="90"/>
      <c r="J253" s="90"/>
      <c r="K253" s="90"/>
      <c r="L253" s="283" t="str">
        <f>IF(OR($A$237="",$I$235="",K253=""),"",IF($A$237="SSD detektor",K253*VLOOKUP($I$235,Data!$L$46:$M$50,2,FALSE),K253/1.2*VLOOKUP($I$235,Data!$L$46:$M$50,2,FALSE)))</f>
        <v/>
      </c>
      <c r="M253" s="204" t="str">
        <f t="shared" si="27"/>
        <v/>
      </c>
      <c r="N253" s="61" t="str">
        <f t="shared" si="28"/>
        <v/>
      </c>
      <c r="O253" s="90"/>
      <c r="P253" s="90"/>
      <c r="R253" s="61">
        <v>10</v>
      </c>
      <c r="S253" s="397"/>
      <c r="T253" s="468"/>
      <c r="U253" s="398"/>
      <c r="V253" s="90"/>
      <c r="W253" s="116"/>
      <c r="X253" s="90"/>
      <c r="Y253" s="90"/>
      <c r="Z253" s="90"/>
      <c r="AA253" s="90"/>
      <c r="AB253" s="90"/>
      <c r="AC253" s="283" t="str">
        <f>IF(OR($A$237="",$I$235="",AB253=""),"",IF($A$237="SSD detektor",AB253*VLOOKUP($I$235,Data!$L$46:$M$50,2,FALSE),AB253/1.2*VLOOKUP($I$235,Data!$L$46:$M$50,2,FALSE)))</f>
        <v/>
      </c>
      <c r="AD253" s="204" t="str">
        <f t="shared" si="29"/>
        <v/>
      </c>
      <c r="AE253" s="61" t="str">
        <f t="shared" si="30"/>
        <v/>
      </c>
      <c r="AF253" s="90"/>
      <c r="AG253" s="90"/>
    </row>
    <row r="254" spans="1:33" x14ac:dyDescent="0.3">
      <c r="A254" s="61">
        <v>11</v>
      </c>
      <c r="B254" s="397"/>
      <c r="C254" s="468"/>
      <c r="D254" s="398"/>
      <c r="E254" s="90"/>
      <c r="F254" s="90"/>
      <c r="G254" s="90"/>
      <c r="H254" s="90"/>
      <c r="I254" s="90"/>
      <c r="J254" s="90"/>
      <c r="K254" s="90"/>
      <c r="L254" s="283" t="str">
        <f>IF(OR($A$237="",$I$235="",K254=""),"",IF($A$237="SSD detektor",K254*VLOOKUP($I$235,Data!$L$46:$M$50,2,FALSE),K254/1.2*VLOOKUP($I$235,Data!$L$46:$M$50,2,FALSE)))</f>
        <v/>
      </c>
      <c r="M254" s="204" t="str">
        <f t="shared" si="27"/>
        <v/>
      </c>
      <c r="N254" s="61" t="str">
        <f t="shared" si="28"/>
        <v/>
      </c>
      <c r="O254" s="90"/>
      <c r="P254" s="90"/>
      <c r="R254" s="61">
        <v>11</v>
      </c>
      <c r="S254" s="397"/>
      <c r="T254" s="468"/>
      <c r="U254" s="398"/>
      <c r="V254" s="90"/>
      <c r="W254" s="90"/>
      <c r="X254" s="90"/>
      <c r="Y254" s="90"/>
      <c r="Z254" s="90"/>
      <c r="AA254" s="90"/>
      <c r="AB254" s="90"/>
      <c r="AC254" s="283" t="str">
        <f>IF(OR($A$237="",$I$235="",AB254=""),"",IF($A$237="SSD detektor",AB254*VLOOKUP($I$235,Data!$L$46:$M$50,2,FALSE),AB254/1.2*VLOOKUP($I$235,Data!$L$46:$M$50,2,FALSE)))</f>
        <v/>
      </c>
      <c r="AD254" s="204" t="str">
        <f t="shared" si="29"/>
        <v/>
      </c>
      <c r="AE254" s="61" t="str">
        <f t="shared" si="30"/>
        <v/>
      </c>
      <c r="AF254" s="90"/>
      <c r="AG254" s="90"/>
    </row>
    <row r="255" spans="1:33" x14ac:dyDescent="0.3">
      <c r="A255" s="61">
        <v>12</v>
      </c>
      <c r="B255" s="397"/>
      <c r="C255" s="468"/>
      <c r="D255" s="398"/>
      <c r="E255" s="90"/>
      <c r="F255" s="90"/>
      <c r="G255" s="90"/>
      <c r="H255" s="90"/>
      <c r="I255" s="90"/>
      <c r="J255" s="90"/>
      <c r="K255" s="90"/>
      <c r="L255" s="283" t="str">
        <f>IF(OR($A$237="",$I$235="",K255=""),"",IF($A$237="SSD detektor",K255*VLOOKUP($I$235,Data!$L$46:$M$50,2,FALSE),K255/1.2*VLOOKUP($I$235,Data!$L$46:$M$50,2,FALSE)))</f>
        <v/>
      </c>
      <c r="M255" s="204" t="str">
        <f t="shared" si="27"/>
        <v/>
      </c>
      <c r="N255" s="61" t="str">
        <f t="shared" si="28"/>
        <v/>
      </c>
      <c r="O255" s="90"/>
      <c r="P255" s="90"/>
      <c r="R255" s="61">
        <v>12</v>
      </c>
      <c r="S255" s="397"/>
      <c r="T255" s="468"/>
      <c r="U255" s="398"/>
      <c r="V255" s="90"/>
      <c r="W255" s="90"/>
      <c r="X255" s="90"/>
      <c r="Y255" s="90"/>
      <c r="Z255" s="90"/>
      <c r="AA255" s="90"/>
      <c r="AB255" s="90"/>
      <c r="AC255" s="283" t="str">
        <f>IF(OR($A$237="",$I$235="",AB255=""),"",IF($A$237="SSD detektor",AB255*VLOOKUP($I$235,Data!$L$46:$M$50,2,FALSE),AB255/1.2*VLOOKUP($I$235,Data!$L$46:$M$50,2,FALSE)))</f>
        <v/>
      </c>
      <c r="AD255" s="204" t="str">
        <f t="shared" si="29"/>
        <v/>
      </c>
      <c r="AE255" s="61" t="str">
        <f t="shared" si="30"/>
        <v/>
      </c>
      <c r="AF255" s="90"/>
      <c r="AG255" s="90"/>
    </row>
    <row r="256" spans="1:33" x14ac:dyDescent="0.3">
      <c r="A256" s="61">
        <v>13</v>
      </c>
      <c r="B256" s="397"/>
      <c r="C256" s="468"/>
      <c r="D256" s="398"/>
      <c r="E256" s="90"/>
      <c r="F256" s="90"/>
      <c r="G256" s="90"/>
      <c r="H256" s="90"/>
      <c r="I256" s="90"/>
      <c r="J256" s="90"/>
      <c r="K256" s="90"/>
      <c r="L256" s="283" t="str">
        <f>IF(OR($A$237="",$I$235="",K256=""),"",IF($A$237="SSD detektor",K256*VLOOKUP($I$235,Data!$L$46:$M$50,2,FALSE),K256/1.2*VLOOKUP($I$235,Data!$L$46:$M$50,2,FALSE)))</f>
        <v/>
      </c>
      <c r="M256" s="204" t="str">
        <f t="shared" si="27"/>
        <v/>
      </c>
      <c r="N256" s="61" t="str">
        <f t="shared" si="28"/>
        <v/>
      </c>
      <c r="O256" s="90"/>
      <c r="P256" s="90"/>
      <c r="R256" s="61">
        <v>13</v>
      </c>
      <c r="S256" s="397"/>
      <c r="T256" s="468"/>
      <c r="U256" s="398"/>
      <c r="V256" s="90"/>
      <c r="W256" s="90"/>
      <c r="X256" s="90"/>
      <c r="Y256" s="90"/>
      <c r="Z256" s="90"/>
      <c r="AA256" s="90"/>
      <c r="AB256" s="90"/>
      <c r="AC256" s="283" t="str">
        <f>IF(OR($A$237="",$I$235="",AB256=""),"",IF($A$237="SSD detektor",AB256*VLOOKUP($I$235,Data!$L$46:$M$50,2,FALSE),AB256/1.2*VLOOKUP($I$235,Data!$L$46:$M$50,2,FALSE)))</f>
        <v/>
      </c>
      <c r="AD256" s="204" t="str">
        <f t="shared" si="29"/>
        <v/>
      </c>
      <c r="AE256" s="61" t="str">
        <f t="shared" si="30"/>
        <v/>
      </c>
      <c r="AF256" s="90"/>
      <c r="AG256" s="90"/>
    </row>
    <row r="257" spans="1:33" x14ac:dyDescent="0.3">
      <c r="A257" s="61">
        <v>14</v>
      </c>
      <c r="B257" s="397"/>
      <c r="C257" s="468"/>
      <c r="D257" s="398"/>
      <c r="E257" s="113"/>
      <c r="F257" s="113"/>
      <c r="G257" s="113"/>
      <c r="H257" s="113"/>
      <c r="I257" s="113"/>
      <c r="J257" s="113"/>
      <c r="K257" s="113"/>
      <c r="L257" s="283" t="str">
        <f>IF(OR($A$237="",$I$235="",K257=""),"",IF($A$237="SSD detektor",K257*VLOOKUP($I$235,Data!$L$46:$M$50,2,FALSE),K257/1.2*VLOOKUP($I$235,Data!$L$46:$M$50,2,FALSE)))</f>
        <v/>
      </c>
      <c r="M257" s="204" t="str">
        <f t="shared" si="27"/>
        <v/>
      </c>
      <c r="N257" s="61" t="str">
        <f t="shared" si="28"/>
        <v/>
      </c>
      <c r="O257" s="113"/>
      <c r="P257" s="90"/>
      <c r="R257" s="61">
        <v>14</v>
      </c>
      <c r="S257" s="397"/>
      <c r="T257" s="468"/>
      <c r="U257" s="398"/>
      <c r="V257" s="113"/>
      <c r="W257" s="113"/>
      <c r="X257" s="113"/>
      <c r="Y257" s="113"/>
      <c r="Z257" s="113"/>
      <c r="AA257" s="113"/>
      <c r="AB257" s="113"/>
      <c r="AC257" s="283" t="str">
        <f>IF(OR($A$237="",$I$235="",AB257=""),"",IF($A$237="SSD detektor",AB257*VLOOKUP($I$235,Data!$L$46:$M$50,2,FALSE),AB257/1.2*VLOOKUP($I$235,Data!$L$46:$M$50,2,FALSE)))</f>
        <v/>
      </c>
      <c r="AD257" s="204" t="str">
        <f t="shared" si="29"/>
        <v/>
      </c>
      <c r="AE257" s="61" t="str">
        <f t="shared" si="30"/>
        <v/>
      </c>
      <c r="AF257" s="113"/>
      <c r="AG257" s="90"/>
    </row>
    <row r="258" spans="1:33" x14ac:dyDescent="0.3">
      <c r="A258" s="61">
        <v>15</v>
      </c>
      <c r="B258" s="397"/>
      <c r="C258" s="468"/>
      <c r="D258" s="398"/>
      <c r="E258" s="113"/>
      <c r="F258" s="113"/>
      <c r="G258" s="113"/>
      <c r="H258" s="113"/>
      <c r="I258" s="113"/>
      <c r="J258" s="113"/>
      <c r="K258" s="113"/>
      <c r="L258" s="283" t="str">
        <f>IF(OR($A$237="",$I$235="",K258=""),"",IF($A$237="SSD detektor",K258*VLOOKUP($I$235,Data!$L$46:$M$50,2,FALSE),K258/1.2*VLOOKUP($I$235,Data!$L$46:$M$50,2,FALSE)))</f>
        <v/>
      </c>
      <c r="M258" s="204" t="str">
        <f t="shared" si="27"/>
        <v/>
      </c>
      <c r="N258" s="61" t="str">
        <f t="shared" si="28"/>
        <v/>
      </c>
      <c r="O258" s="113"/>
      <c r="P258" s="90"/>
      <c r="R258" s="61">
        <v>15</v>
      </c>
      <c r="S258" s="397"/>
      <c r="T258" s="468"/>
      <c r="U258" s="398"/>
      <c r="V258" s="113"/>
      <c r="W258" s="113"/>
      <c r="X258" s="113"/>
      <c r="Y258" s="113"/>
      <c r="Z258" s="113"/>
      <c r="AA258" s="113"/>
      <c r="AB258" s="113"/>
      <c r="AC258" s="283" t="str">
        <f>IF(OR($A$237="",$I$235="",AB258=""),"",IF($A$237="SSD detektor",AB258*VLOOKUP($I$235,Data!$L$46:$M$50,2,FALSE),AB258/1.2*VLOOKUP($I$235,Data!$L$46:$M$50,2,FALSE)))</f>
        <v/>
      </c>
      <c r="AD258" s="204" t="str">
        <f t="shared" si="29"/>
        <v/>
      </c>
      <c r="AE258" s="61" t="str">
        <f t="shared" si="30"/>
        <v/>
      </c>
      <c r="AF258" s="113"/>
      <c r="AG258" s="90"/>
    </row>
    <row r="259" spans="1:33" x14ac:dyDescent="0.3">
      <c r="A259" s="61">
        <v>16</v>
      </c>
      <c r="B259" s="397"/>
      <c r="C259" s="468"/>
      <c r="D259" s="398"/>
      <c r="E259" s="113"/>
      <c r="F259" s="113"/>
      <c r="G259" s="113"/>
      <c r="H259" s="113"/>
      <c r="I259" s="113"/>
      <c r="J259" s="113"/>
      <c r="K259" s="113"/>
      <c r="L259" s="283" t="str">
        <f>IF(OR($A$237="",$I$235="",K259=""),"",IF($A$237="SSD detektor",K259*VLOOKUP($I$235,Data!$L$46:$M$50,2,FALSE),K259/1.2*VLOOKUP($I$235,Data!$L$46:$M$50,2,FALSE)))</f>
        <v/>
      </c>
      <c r="M259" s="204" t="str">
        <f t="shared" si="27"/>
        <v/>
      </c>
      <c r="N259" s="61" t="str">
        <f t="shared" si="28"/>
        <v/>
      </c>
      <c r="O259" s="113"/>
      <c r="P259" s="90"/>
      <c r="R259" s="61">
        <v>16</v>
      </c>
      <c r="S259" s="397"/>
      <c r="T259" s="468"/>
      <c r="U259" s="398"/>
      <c r="V259" s="113"/>
      <c r="W259" s="113"/>
      <c r="X259" s="113"/>
      <c r="Y259" s="113"/>
      <c r="Z259" s="113"/>
      <c r="AA259" s="113"/>
      <c r="AB259" s="113"/>
      <c r="AC259" s="283" t="str">
        <f>IF(OR($A$237="",$I$235="",AB259=""),"",IF($A$237="SSD detektor",AB259*VLOOKUP($I$235,Data!$L$46:$M$50,2,FALSE),AB259/1.2*VLOOKUP($I$235,Data!$L$46:$M$50,2,FALSE)))</f>
        <v/>
      </c>
      <c r="AD259" s="204" t="str">
        <f t="shared" si="29"/>
        <v/>
      </c>
      <c r="AE259" s="61" t="str">
        <f t="shared" si="30"/>
        <v/>
      </c>
      <c r="AF259" s="113"/>
      <c r="AG259" s="90"/>
    </row>
    <row r="260" spans="1:33" x14ac:dyDescent="0.3">
      <c r="A260" s="61">
        <v>17</v>
      </c>
      <c r="B260" s="397"/>
      <c r="C260" s="468"/>
      <c r="D260" s="398"/>
      <c r="E260" s="113"/>
      <c r="F260" s="113"/>
      <c r="G260" s="113"/>
      <c r="H260" s="113"/>
      <c r="I260" s="113"/>
      <c r="J260" s="113"/>
      <c r="K260" s="113"/>
      <c r="L260" s="283" t="str">
        <f>IF(OR($A$237="",$I$235="",K260=""),"",IF($A$237="SSD detektor",K260*VLOOKUP($I$235,Data!$L$46:$M$50,2,FALSE),K260/1.2*VLOOKUP($I$235,Data!$L$46:$M$50,2,FALSE)))</f>
        <v/>
      </c>
      <c r="M260" s="204" t="str">
        <f t="shared" si="27"/>
        <v/>
      </c>
      <c r="N260" s="61" t="str">
        <f t="shared" si="28"/>
        <v/>
      </c>
      <c r="O260" s="113"/>
      <c r="P260" s="90"/>
      <c r="R260" s="61">
        <v>17</v>
      </c>
      <c r="S260" s="397"/>
      <c r="T260" s="468"/>
      <c r="U260" s="398"/>
      <c r="V260" s="113"/>
      <c r="W260" s="113"/>
      <c r="X260" s="113"/>
      <c r="Y260" s="113"/>
      <c r="Z260" s="113"/>
      <c r="AA260" s="113"/>
      <c r="AB260" s="113"/>
      <c r="AC260" s="283" t="str">
        <f>IF(OR($A$237="",$I$235="",AB260=""),"",IF($A$237="SSD detektor",AB260*VLOOKUP($I$235,Data!$L$46:$M$50,2,FALSE),AB260/1.2*VLOOKUP($I$235,Data!$L$46:$M$50,2,FALSE)))</f>
        <v/>
      </c>
      <c r="AD260" s="204" t="str">
        <f t="shared" si="29"/>
        <v/>
      </c>
      <c r="AE260" s="61" t="str">
        <f t="shared" si="30"/>
        <v/>
      </c>
      <c r="AF260" s="113"/>
      <c r="AG260" s="90"/>
    </row>
    <row r="261" spans="1:33" x14ac:dyDescent="0.3">
      <c r="A261" s="61">
        <v>18</v>
      </c>
      <c r="B261" s="397"/>
      <c r="C261" s="468"/>
      <c r="D261" s="398"/>
      <c r="E261" s="113"/>
      <c r="F261" s="113"/>
      <c r="G261" s="113"/>
      <c r="H261" s="113"/>
      <c r="I261" s="113"/>
      <c r="J261" s="113"/>
      <c r="K261" s="113"/>
      <c r="L261" s="283" t="str">
        <f>IF(OR($A$237="",$I$235="",K261=""),"",IF($A$237="SSD detektor",K261*VLOOKUP($I$235,Data!$L$46:$M$50,2,FALSE),K261/1.2*VLOOKUP($I$235,Data!$L$46:$M$50,2,FALSE)))</f>
        <v/>
      </c>
      <c r="M261" s="204" t="str">
        <f t="shared" si="27"/>
        <v/>
      </c>
      <c r="N261" s="61" t="str">
        <f t="shared" si="28"/>
        <v/>
      </c>
      <c r="O261" s="113"/>
      <c r="P261" s="90"/>
      <c r="R261" s="61">
        <v>18</v>
      </c>
      <c r="S261" s="397"/>
      <c r="T261" s="468"/>
      <c r="U261" s="398"/>
      <c r="V261" s="113"/>
      <c r="W261" s="113"/>
      <c r="X261" s="113"/>
      <c r="Y261" s="113"/>
      <c r="Z261" s="113"/>
      <c r="AA261" s="113"/>
      <c r="AB261" s="113"/>
      <c r="AC261" s="283" t="str">
        <f>IF(OR($A$237="",$I$235="",AB261=""),"",IF($A$237="SSD detektor",AB261*VLOOKUP($I$235,Data!$L$46:$M$50,2,FALSE),AB261/1.2*VLOOKUP($I$235,Data!$L$46:$M$50,2,FALSE)))</f>
        <v/>
      </c>
      <c r="AD261" s="204" t="str">
        <f t="shared" si="29"/>
        <v/>
      </c>
      <c r="AE261" s="61" t="str">
        <f t="shared" si="30"/>
        <v/>
      </c>
      <c r="AF261" s="113"/>
      <c r="AG261" s="90"/>
    </row>
    <row r="262" spans="1:33" x14ac:dyDescent="0.3">
      <c r="A262" s="61">
        <v>19</v>
      </c>
      <c r="B262" s="397"/>
      <c r="C262" s="468"/>
      <c r="D262" s="398"/>
      <c r="E262" s="113"/>
      <c r="F262" s="113"/>
      <c r="G262" s="113"/>
      <c r="H262" s="113"/>
      <c r="I262" s="113"/>
      <c r="J262" s="113"/>
      <c r="K262" s="113"/>
      <c r="L262" s="283" t="str">
        <f>IF(OR($A$237="",$I$235="",K262=""),"",IF($A$237="SSD detektor",K262*VLOOKUP($I$235,Data!$L$46:$M$50,2,FALSE),K262/1.2*VLOOKUP($I$235,Data!$L$46:$M$50,2,FALSE)))</f>
        <v/>
      </c>
      <c r="M262" s="204" t="str">
        <f t="shared" si="27"/>
        <v/>
      </c>
      <c r="N262" s="61" t="str">
        <f t="shared" si="28"/>
        <v/>
      </c>
      <c r="O262" s="113"/>
      <c r="P262" s="90"/>
      <c r="R262" s="61">
        <v>19</v>
      </c>
      <c r="S262" s="397"/>
      <c r="T262" s="468"/>
      <c r="U262" s="398"/>
      <c r="V262" s="113"/>
      <c r="W262" s="113"/>
      <c r="X262" s="113"/>
      <c r="Y262" s="113"/>
      <c r="Z262" s="113"/>
      <c r="AA262" s="113"/>
      <c r="AB262" s="113"/>
      <c r="AC262" s="283" t="str">
        <f>IF(OR($A$237="",$I$235="",AB262=""),"",IF($A$237="SSD detektor",AB262*VLOOKUP($I$235,Data!$L$46:$M$50,2,FALSE),AB262/1.2*VLOOKUP($I$235,Data!$L$46:$M$50,2,FALSE)))</f>
        <v/>
      </c>
      <c r="AD262" s="204" t="str">
        <f t="shared" si="29"/>
        <v/>
      </c>
      <c r="AE262" s="61" t="str">
        <f t="shared" si="30"/>
        <v/>
      </c>
      <c r="AF262" s="113"/>
      <c r="AG262" s="90"/>
    </row>
    <row r="263" spans="1:33" x14ac:dyDescent="0.3">
      <c r="A263" s="61">
        <v>20</v>
      </c>
      <c r="B263" s="397"/>
      <c r="C263" s="468"/>
      <c r="D263" s="398"/>
      <c r="E263" s="113"/>
      <c r="F263" s="113"/>
      <c r="G263" s="113"/>
      <c r="H263" s="113"/>
      <c r="I263" s="113"/>
      <c r="J263" s="113"/>
      <c r="K263" s="113"/>
      <c r="L263" s="283" t="str">
        <f>IF(OR($A$237="",$I$235="",K263=""),"",IF($A$237="SSD detektor",K263*VLOOKUP($I$235,Data!$L$46:$M$50,2,FALSE),K263/1.2*VLOOKUP($I$235,Data!$L$46:$M$50,2,FALSE)))</f>
        <v/>
      </c>
      <c r="M263" s="204" t="str">
        <f t="shared" si="27"/>
        <v/>
      </c>
      <c r="N263" s="61" t="str">
        <f t="shared" si="28"/>
        <v/>
      </c>
      <c r="O263" s="113"/>
      <c r="P263" s="90"/>
      <c r="R263" s="61">
        <v>20</v>
      </c>
      <c r="S263" s="397"/>
      <c r="T263" s="468"/>
      <c r="U263" s="398"/>
      <c r="V263" s="113"/>
      <c r="W263" s="113"/>
      <c r="X263" s="113"/>
      <c r="Y263" s="113"/>
      <c r="Z263" s="113"/>
      <c r="AA263" s="113"/>
      <c r="AB263" s="113"/>
      <c r="AC263" s="283" t="str">
        <f>IF(OR($A$237="",$I$235="",AB263=""),"",IF($A$237="SSD detektor",AB263*VLOOKUP($I$235,Data!$L$46:$M$50,2,FALSE),AB263/1.2*VLOOKUP($I$235,Data!$L$46:$M$50,2,FALSE)))</f>
        <v/>
      </c>
      <c r="AD263" s="204" t="str">
        <f t="shared" si="29"/>
        <v/>
      </c>
      <c r="AE263" s="61" t="str">
        <f t="shared" si="30"/>
        <v/>
      </c>
      <c r="AF263" s="113"/>
      <c r="AG263" s="90"/>
    </row>
    <row r="264" spans="1:33" x14ac:dyDescent="0.3">
      <c r="A264" s="58" t="s">
        <v>48</v>
      </c>
      <c r="B264" s="196" t="s">
        <v>560</v>
      </c>
      <c r="C264" s="197"/>
      <c r="D264" s="198"/>
      <c r="E264" s="58" t="s">
        <v>113</v>
      </c>
      <c r="F264" s="58" t="s">
        <v>306</v>
      </c>
      <c r="G264" s="58" t="s">
        <v>761</v>
      </c>
      <c r="H264" s="58" t="s">
        <v>59</v>
      </c>
      <c r="I264" s="58" t="s">
        <v>50</v>
      </c>
      <c r="J264" s="58" t="s">
        <v>51</v>
      </c>
      <c r="K264" s="58" t="s">
        <v>307</v>
      </c>
      <c r="L264" s="58" t="s">
        <v>307</v>
      </c>
      <c r="M264" s="58" t="s">
        <v>57</v>
      </c>
      <c r="N264" s="58" t="s">
        <v>57</v>
      </c>
      <c r="O264" s="58" t="s">
        <v>307</v>
      </c>
      <c r="P264" s="58" t="s">
        <v>386</v>
      </c>
      <c r="R264" s="58" t="s">
        <v>48</v>
      </c>
      <c r="S264" s="196" t="s">
        <v>560</v>
      </c>
      <c r="T264" s="197"/>
      <c r="U264" s="198"/>
      <c r="V264" s="58" t="s">
        <v>113</v>
      </c>
      <c r="W264" s="58" t="s">
        <v>306</v>
      </c>
      <c r="X264" s="58" t="s">
        <v>59</v>
      </c>
      <c r="Y264" s="58" t="s">
        <v>761</v>
      </c>
      <c r="Z264" s="58" t="s">
        <v>50</v>
      </c>
      <c r="AA264" s="58" t="s">
        <v>51</v>
      </c>
      <c r="AB264" s="58" t="s">
        <v>307</v>
      </c>
      <c r="AC264" s="58" t="s">
        <v>307</v>
      </c>
      <c r="AD264" s="58" t="s">
        <v>57</v>
      </c>
      <c r="AE264" s="58" t="s">
        <v>57</v>
      </c>
      <c r="AF264" s="58" t="s">
        <v>307</v>
      </c>
      <c r="AG264" s="58" t="s">
        <v>386</v>
      </c>
    </row>
    <row r="265" spans="1:33" x14ac:dyDescent="0.3">
      <c r="A265" s="59"/>
      <c r="B265" s="189" t="s">
        <v>49</v>
      </c>
      <c r="C265" s="50"/>
      <c r="D265" s="190"/>
      <c r="E265" s="59" t="s">
        <v>114</v>
      </c>
      <c r="F265" s="59" t="s">
        <v>55</v>
      </c>
      <c r="G265" s="59" t="s">
        <v>762</v>
      </c>
      <c r="H265" s="59" t="str">
        <f>IF($A$236="","",IF($A$236="rektangulær","kant/diagonal","diameter"))</f>
        <v/>
      </c>
      <c r="I265" s="59"/>
      <c r="J265" s="59"/>
      <c r="K265" s="178" t="str">
        <f>IF($I$235="","",$I$235)</f>
        <v/>
      </c>
      <c r="L265" s="178" t="s">
        <v>434</v>
      </c>
      <c r="M265" s="59" t="s">
        <v>58</v>
      </c>
      <c r="N265" s="59" t="s">
        <v>58</v>
      </c>
      <c r="O265" s="178" t="s">
        <v>434</v>
      </c>
      <c r="P265" s="59" t="s">
        <v>387</v>
      </c>
      <c r="R265" s="59"/>
      <c r="S265" s="189" t="s">
        <v>49</v>
      </c>
      <c r="T265" s="50"/>
      <c r="U265" s="190"/>
      <c r="V265" s="59" t="s">
        <v>114</v>
      </c>
      <c r="W265" s="59" t="s">
        <v>55</v>
      </c>
      <c r="X265" s="59" t="str">
        <f>IF($A$236="","",IF($A$236="rektangulær","kant/diagonal","diameter"))</f>
        <v/>
      </c>
      <c r="Y265" s="59" t="s">
        <v>762</v>
      </c>
      <c r="Z265" s="59"/>
      <c r="AA265" s="59"/>
      <c r="AB265" s="178" t="str">
        <f>IF($I$235="","",$I$235)</f>
        <v/>
      </c>
      <c r="AC265" s="178" t="s">
        <v>434</v>
      </c>
      <c r="AD265" s="59" t="s">
        <v>58</v>
      </c>
      <c r="AE265" s="59" t="s">
        <v>58</v>
      </c>
      <c r="AF265" s="178" t="str">
        <f>IF($I$235="","",$I$235)</f>
        <v/>
      </c>
      <c r="AG265" s="59" t="s">
        <v>387</v>
      </c>
    </row>
    <row r="266" spans="1:33" x14ac:dyDescent="0.3">
      <c r="A266" s="60"/>
      <c r="B266" s="191"/>
      <c r="C266" s="57"/>
      <c r="D266" s="192"/>
      <c r="E266" s="60"/>
      <c r="F266" s="60"/>
      <c r="G266" s="60"/>
      <c r="H266" s="60" t="s">
        <v>60</v>
      </c>
      <c r="I266" s="60"/>
      <c r="J266" s="60"/>
      <c r="K266" s="60" t="s">
        <v>63</v>
      </c>
      <c r="L266" s="60" t="s">
        <v>261</v>
      </c>
      <c r="M266" s="60"/>
      <c r="N266" s="60"/>
      <c r="O266" s="60" t="s">
        <v>105</v>
      </c>
      <c r="P266" s="60" t="s">
        <v>130</v>
      </c>
      <c r="R266" s="60"/>
      <c r="S266" s="191"/>
      <c r="T266" s="57"/>
      <c r="U266" s="192"/>
      <c r="V266" s="60"/>
      <c r="W266" s="60"/>
      <c r="X266" s="60" t="s">
        <v>60</v>
      </c>
      <c r="Y266" s="60"/>
      <c r="Z266" s="60"/>
      <c r="AA266" s="60"/>
      <c r="AB266" s="60" t="s">
        <v>63</v>
      </c>
      <c r="AC266" s="60" t="s">
        <v>261</v>
      </c>
      <c r="AD266" s="60"/>
      <c r="AE266" s="60"/>
      <c r="AF266" s="60" t="s">
        <v>105</v>
      </c>
      <c r="AG266" s="60" t="s">
        <v>130</v>
      </c>
    </row>
    <row r="267" spans="1:33" x14ac:dyDescent="0.3">
      <c r="A267" s="61">
        <v>1</v>
      </c>
      <c r="B267" s="397"/>
      <c r="C267" s="468"/>
      <c r="D267" s="398"/>
      <c r="E267" s="90"/>
      <c r="F267" s="90"/>
      <c r="G267" s="90"/>
      <c r="H267" s="90"/>
      <c r="I267" s="90"/>
      <c r="J267" s="90"/>
      <c r="K267" s="90"/>
      <c r="L267" s="283" t="str">
        <f>IF(OR($A$237="",$I$235="",K267=""),"",IF($A$237="SSD detektor",K267*VLOOKUP($I$235,Data!$L$46:$M$50,2,FALSE),K267/1.2*VLOOKUP($I$235,Data!$L$46:$M$50,2,FALSE)))</f>
        <v/>
      </c>
      <c r="M267" s="204" t="str">
        <f>IF(OR($A$237="",$I$232="",$I$235="",K267="",O267=""),"",ABS(L267/O267-1)*100)</f>
        <v/>
      </c>
      <c r="N267" s="61" t="str">
        <f>IF(OR($A$237="",$I$232="",$I$235="",K267="",O267=""),"",IF(M267&gt;25,"IKKE OK","OK"))</f>
        <v/>
      </c>
      <c r="O267" s="90"/>
      <c r="P267" s="90"/>
      <c r="R267" s="61">
        <v>1</v>
      </c>
      <c r="S267" s="487"/>
      <c r="T267" s="488"/>
      <c r="U267" s="489"/>
      <c r="V267" s="90"/>
      <c r="W267" s="90"/>
      <c r="X267" s="90"/>
      <c r="Y267" s="90"/>
      <c r="Z267" s="90"/>
      <c r="AA267" s="90"/>
      <c r="AB267" s="90"/>
      <c r="AC267" s="283" t="str">
        <f>IF(OR($A$237="",$I$235="",AB267=""),"",IF($A$237="SSD detektor",AB267*VLOOKUP($I$235,Data!$L$46:$M$50,2,FALSE),AB267/1.2*VLOOKUP($I$235,Data!$L$46:$M$50,2,FALSE)))</f>
        <v/>
      </c>
      <c r="AD267" s="204" t="str">
        <f>IF(OR($A$237="",$I$232="",$I$235="",AB267="",AF267=""),"",ABS(AC267/AF267-1)*100)</f>
        <v/>
      </c>
      <c r="AE267" s="61" t="str">
        <f>IF(OR($A$237="",$I$232="",$I$235="",AB267="",AF267=""),"",IF(AD267&gt;25,"IKKE OK","OK"))</f>
        <v/>
      </c>
      <c r="AF267" s="90"/>
      <c r="AG267" s="90"/>
    </row>
    <row r="268" spans="1:33" x14ac:dyDescent="0.3">
      <c r="A268" s="61">
        <v>2</v>
      </c>
      <c r="B268" s="397"/>
      <c r="C268" s="468"/>
      <c r="D268" s="398"/>
      <c r="E268" s="90"/>
      <c r="F268" s="116"/>
      <c r="G268" s="116"/>
      <c r="H268" s="90"/>
      <c r="I268" s="90"/>
      <c r="J268" s="90"/>
      <c r="K268" s="90"/>
      <c r="L268" s="283" t="str">
        <f>IF(OR($A$237="",$I$235="",K268=""),"",IF($A$237="SSD detektor",K268*VLOOKUP($I$235,Data!$L$46:$M$50,2,FALSE),K268/1.2*VLOOKUP($I$235,Data!$L$46:$M$50,2,FALSE)))</f>
        <v/>
      </c>
      <c r="M268" s="204" t="str">
        <f t="shared" ref="M268:M286" si="31">IF(OR($A$237="",$I$232="",$I$235="",K268="",O268=""),"",ABS(L268/O268-1)*100)</f>
        <v/>
      </c>
      <c r="N268" s="61" t="str">
        <f t="shared" ref="N268:N286" si="32">IF(OR($A$237="",$I$232="",$I$235="",K268="",O268=""),"",IF(M268&gt;25,"IKKE OK","OK"))</f>
        <v/>
      </c>
      <c r="O268" s="90"/>
      <c r="P268" s="90"/>
      <c r="R268" s="61">
        <v>2</v>
      </c>
      <c r="S268" s="397"/>
      <c r="T268" s="468"/>
      <c r="U268" s="398"/>
      <c r="V268" s="90"/>
      <c r="W268" s="116"/>
      <c r="X268" s="90"/>
      <c r="Y268" s="90"/>
      <c r="Z268" s="90"/>
      <c r="AA268" s="90"/>
      <c r="AB268" s="90"/>
      <c r="AC268" s="283" t="str">
        <f>IF(OR($A$237="",$I$235="",AB268=""),"",IF($A$237="SSD detektor",AB268*VLOOKUP($I$235,Data!$L$46:$M$50,2,FALSE),AB268/1.2*VLOOKUP($I$235,Data!$L$46:$M$50,2,FALSE)))</f>
        <v/>
      </c>
      <c r="AD268" s="204" t="str">
        <f t="shared" ref="AD268:AD286" si="33">IF(OR($A$237="",$I$232="",$I$235="",AB268="",AF268=""),"",ABS(AC268/AF268-1)*100)</f>
        <v/>
      </c>
      <c r="AE268" s="61" t="str">
        <f t="shared" ref="AE268:AE286" si="34">IF(OR($A$237="",$I$232="",$I$235="",AB268="",AF268=""),"",IF(AD268&gt;25,"IKKE OK","OK"))</f>
        <v/>
      </c>
      <c r="AF268" s="90"/>
      <c r="AG268" s="90"/>
    </row>
    <row r="269" spans="1:33" x14ac:dyDescent="0.3">
      <c r="A269" s="61">
        <v>3</v>
      </c>
      <c r="B269" s="397"/>
      <c r="C269" s="468"/>
      <c r="D269" s="398"/>
      <c r="E269" s="90"/>
      <c r="F269" s="116"/>
      <c r="G269" s="116"/>
      <c r="H269" s="90"/>
      <c r="I269" s="90"/>
      <c r="J269" s="90"/>
      <c r="K269" s="90"/>
      <c r="L269" s="283" t="str">
        <f>IF(OR($A$237="",$I$235="",K269=""),"",IF($A$237="SSD detektor",K269*VLOOKUP($I$235,Data!$L$46:$M$50,2,FALSE),K269/1.2*VLOOKUP($I$235,Data!$L$46:$M$50,2,FALSE)))</f>
        <v/>
      </c>
      <c r="M269" s="204" t="str">
        <f t="shared" si="31"/>
        <v/>
      </c>
      <c r="N269" s="61" t="str">
        <f t="shared" si="32"/>
        <v/>
      </c>
      <c r="O269" s="90"/>
      <c r="P269" s="90"/>
      <c r="R269" s="61">
        <v>3</v>
      </c>
      <c r="S269" s="397"/>
      <c r="T269" s="468"/>
      <c r="U269" s="398"/>
      <c r="V269" s="90"/>
      <c r="W269" s="116"/>
      <c r="X269" s="90"/>
      <c r="Y269" s="90"/>
      <c r="Z269" s="90"/>
      <c r="AA269" s="90"/>
      <c r="AB269" s="90"/>
      <c r="AC269" s="283" t="str">
        <f>IF(OR($A$237="",$I$235="",AB269=""),"",IF($A$237="SSD detektor",AB269*VLOOKUP($I$235,Data!$L$46:$M$50,2,FALSE),AB269/1.2*VLOOKUP($I$235,Data!$L$46:$M$50,2,FALSE)))</f>
        <v/>
      </c>
      <c r="AD269" s="204" t="str">
        <f t="shared" si="33"/>
        <v/>
      </c>
      <c r="AE269" s="61" t="str">
        <f t="shared" si="34"/>
        <v/>
      </c>
      <c r="AF269" s="90"/>
      <c r="AG269" s="90"/>
    </row>
    <row r="270" spans="1:33" x14ac:dyDescent="0.3">
      <c r="A270" s="61">
        <v>4</v>
      </c>
      <c r="B270" s="397"/>
      <c r="C270" s="468"/>
      <c r="D270" s="398"/>
      <c r="E270" s="90"/>
      <c r="F270" s="116"/>
      <c r="G270" s="116"/>
      <c r="H270" s="90"/>
      <c r="I270" s="90"/>
      <c r="J270" s="90"/>
      <c r="K270" s="90"/>
      <c r="L270" s="283" t="str">
        <f>IF(OR($A$237="",$I$235="",K270=""),"",IF($A$237="SSD detektor",K270*VLOOKUP($I$235,Data!$L$46:$M$50,2,FALSE),K270/1.2*VLOOKUP($I$235,Data!$L$46:$M$50,2,FALSE)))</f>
        <v/>
      </c>
      <c r="M270" s="204" t="str">
        <f t="shared" si="31"/>
        <v/>
      </c>
      <c r="N270" s="61" t="str">
        <f t="shared" si="32"/>
        <v/>
      </c>
      <c r="O270" s="90"/>
      <c r="P270" s="90"/>
      <c r="R270" s="61">
        <v>4</v>
      </c>
      <c r="S270" s="397"/>
      <c r="T270" s="468"/>
      <c r="U270" s="398"/>
      <c r="V270" s="90"/>
      <c r="W270" s="116"/>
      <c r="X270" s="90"/>
      <c r="Y270" s="90"/>
      <c r="Z270" s="90"/>
      <c r="AA270" s="90"/>
      <c r="AB270" s="90"/>
      <c r="AC270" s="283" t="str">
        <f>IF(OR($A$237="",$I$235="",AB270=""),"",IF($A$237="SSD detektor",AB270*VLOOKUP($I$235,Data!$L$46:$M$50,2,FALSE),AB270/1.2*VLOOKUP($I$235,Data!$L$46:$M$50,2,FALSE)))</f>
        <v/>
      </c>
      <c r="AD270" s="204" t="str">
        <f t="shared" si="33"/>
        <v/>
      </c>
      <c r="AE270" s="61" t="str">
        <f t="shared" si="34"/>
        <v/>
      </c>
      <c r="AF270" s="90"/>
      <c r="AG270" s="90"/>
    </row>
    <row r="271" spans="1:33" x14ac:dyDescent="0.3">
      <c r="A271" s="61">
        <v>5</v>
      </c>
      <c r="B271" s="397"/>
      <c r="C271" s="468"/>
      <c r="D271" s="398"/>
      <c r="E271" s="90"/>
      <c r="F271" s="90"/>
      <c r="G271" s="90"/>
      <c r="H271" s="90"/>
      <c r="I271" s="90"/>
      <c r="J271" s="90"/>
      <c r="K271" s="90"/>
      <c r="L271" s="283" t="str">
        <f>IF(OR($A$237="",$I$235="",K271=""),"",IF($A$237="SSD detektor",K271*VLOOKUP($I$235,Data!$L$46:$M$50,2,FALSE),K271/1.2*VLOOKUP($I$235,Data!$L$46:$M$50,2,FALSE)))</f>
        <v/>
      </c>
      <c r="M271" s="204" t="str">
        <f t="shared" si="31"/>
        <v/>
      </c>
      <c r="N271" s="61" t="str">
        <f t="shared" si="32"/>
        <v/>
      </c>
      <c r="O271" s="90"/>
      <c r="P271" s="90"/>
      <c r="R271" s="61">
        <v>5</v>
      </c>
      <c r="S271" s="397"/>
      <c r="T271" s="468"/>
      <c r="U271" s="398"/>
      <c r="V271" s="90"/>
      <c r="W271" s="90"/>
      <c r="X271" s="90"/>
      <c r="Y271" s="90"/>
      <c r="Z271" s="90"/>
      <c r="AA271" s="90"/>
      <c r="AB271" s="90"/>
      <c r="AC271" s="283" t="str">
        <f>IF(OR($A$237="",$I$235="",AB271=""),"",IF($A$237="SSD detektor",AB271*VLOOKUP($I$235,Data!$L$46:$M$50,2,FALSE),AB271/1.2*VLOOKUP($I$235,Data!$L$46:$M$50,2,FALSE)))</f>
        <v/>
      </c>
      <c r="AD271" s="204" t="str">
        <f t="shared" si="33"/>
        <v/>
      </c>
      <c r="AE271" s="61" t="str">
        <f t="shared" si="34"/>
        <v/>
      </c>
      <c r="AF271" s="90"/>
      <c r="AG271" s="90"/>
    </row>
    <row r="272" spans="1:33" x14ac:dyDescent="0.3">
      <c r="A272" s="61">
        <v>6</v>
      </c>
      <c r="B272" s="397"/>
      <c r="C272" s="468"/>
      <c r="D272" s="398"/>
      <c r="E272" s="90"/>
      <c r="F272" s="90"/>
      <c r="G272" s="90"/>
      <c r="H272" s="90"/>
      <c r="I272" s="90"/>
      <c r="J272" s="90"/>
      <c r="K272" s="90"/>
      <c r="L272" s="283" t="str">
        <f>IF(OR($A$237="",$I$235="",K272=""),"",IF($A$237="SSD detektor",K272*VLOOKUP($I$235,Data!$L$46:$M$50,2,FALSE),K272/1.2*VLOOKUP($I$235,Data!$L$46:$M$50,2,FALSE)))</f>
        <v/>
      </c>
      <c r="M272" s="204" t="str">
        <f t="shared" si="31"/>
        <v/>
      </c>
      <c r="N272" s="61" t="str">
        <f t="shared" si="32"/>
        <v/>
      </c>
      <c r="O272" s="90"/>
      <c r="P272" s="90"/>
      <c r="R272" s="61">
        <v>6</v>
      </c>
      <c r="S272" s="397"/>
      <c r="T272" s="468"/>
      <c r="U272" s="398"/>
      <c r="V272" s="90"/>
      <c r="W272" s="90"/>
      <c r="X272" s="90"/>
      <c r="Y272" s="90"/>
      <c r="Z272" s="90"/>
      <c r="AA272" s="90"/>
      <c r="AB272" s="90"/>
      <c r="AC272" s="283" t="str">
        <f>IF(OR($A$237="",$I$235="",AB272=""),"",IF($A$237="SSD detektor",AB272*VLOOKUP($I$235,Data!$L$46:$M$50,2,FALSE),AB272/1.2*VLOOKUP($I$235,Data!$L$46:$M$50,2,FALSE)))</f>
        <v/>
      </c>
      <c r="AD272" s="204" t="str">
        <f t="shared" si="33"/>
        <v/>
      </c>
      <c r="AE272" s="61" t="str">
        <f t="shared" si="34"/>
        <v/>
      </c>
      <c r="AF272" s="90"/>
      <c r="AG272" s="90"/>
    </row>
    <row r="273" spans="1:33" x14ac:dyDescent="0.3">
      <c r="A273" s="61">
        <v>7</v>
      </c>
      <c r="B273" s="469"/>
      <c r="C273" s="470"/>
      <c r="D273" s="471"/>
      <c r="E273" s="90"/>
      <c r="F273" s="90"/>
      <c r="G273" s="90"/>
      <c r="H273" s="90"/>
      <c r="I273" s="90"/>
      <c r="J273" s="90"/>
      <c r="K273" s="90"/>
      <c r="L273" s="283" t="str">
        <f>IF(OR($A$237="",$I$235="",K273=""),"",IF($A$237="SSD detektor",K273*VLOOKUP($I$235,Data!$L$46:$M$50,2,FALSE),K273/1.2*VLOOKUP($I$235,Data!$L$46:$M$50,2,FALSE)))</f>
        <v/>
      </c>
      <c r="M273" s="204" t="str">
        <f t="shared" si="31"/>
        <v/>
      </c>
      <c r="N273" s="61" t="str">
        <f t="shared" si="32"/>
        <v/>
      </c>
      <c r="O273" s="90"/>
      <c r="P273" s="90"/>
      <c r="R273" s="61">
        <v>7</v>
      </c>
      <c r="S273" s="469"/>
      <c r="T273" s="470"/>
      <c r="U273" s="471"/>
      <c r="V273" s="90"/>
      <c r="W273" s="90"/>
      <c r="X273" s="90"/>
      <c r="Y273" s="90"/>
      <c r="Z273" s="90"/>
      <c r="AA273" s="90"/>
      <c r="AB273" s="90"/>
      <c r="AC273" s="283" t="str">
        <f>IF(OR($A$237="",$I$235="",AB273=""),"",IF($A$237="SSD detektor",AB273*VLOOKUP($I$235,Data!$L$46:$M$50,2,FALSE),AB273/1.2*VLOOKUP($I$235,Data!$L$46:$M$50,2,FALSE)))</f>
        <v/>
      </c>
      <c r="AD273" s="204" t="str">
        <f t="shared" si="33"/>
        <v/>
      </c>
      <c r="AE273" s="61" t="str">
        <f t="shared" si="34"/>
        <v/>
      </c>
      <c r="AF273" s="90"/>
      <c r="AG273" s="90"/>
    </row>
    <row r="274" spans="1:33" x14ac:dyDescent="0.3">
      <c r="A274" s="61">
        <v>8</v>
      </c>
      <c r="B274" s="397"/>
      <c r="C274" s="468"/>
      <c r="D274" s="398"/>
      <c r="E274" s="90"/>
      <c r="F274" s="116"/>
      <c r="G274" s="116"/>
      <c r="H274" s="90"/>
      <c r="I274" s="90"/>
      <c r="J274" s="90"/>
      <c r="K274" s="90"/>
      <c r="L274" s="283" t="str">
        <f>IF(OR($A$237="",$I$235="",K274=""),"",IF($A$237="SSD detektor",K274*VLOOKUP($I$235,Data!$L$46:$M$50,2,FALSE),K274/1.2*VLOOKUP($I$235,Data!$L$46:$M$50,2,FALSE)))</f>
        <v/>
      </c>
      <c r="M274" s="204" t="str">
        <f t="shared" si="31"/>
        <v/>
      </c>
      <c r="N274" s="61" t="str">
        <f t="shared" si="32"/>
        <v/>
      </c>
      <c r="O274" s="90"/>
      <c r="P274" s="90"/>
      <c r="R274" s="61">
        <v>8</v>
      </c>
      <c r="S274" s="397"/>
      <c r="T274" s="468"/>
      <c r="U274" s="398"/>
      <c r="V274" s="90"/>
      <c r="W274" s="116"/>
      <c r="X274" s="90"/>
      <c r="Y274" s="90"/>
      <c r="Z274" s="90"/>
      <c r="AA274" s="90"/>
      <c r="AB274" s="90"/>
      <c r="AC274" s="283" t="str">
        <f>IF(OR($A$237="",$I$235="",AB274=""),"",IF($A$237="SSD detektor",AB274*VLOOKUP($I$235,Data!$L$46:$M$50,2,FALSE),AB274/1.2*VLOOKUP($I$235,Data!$L$46:$M$50,2,FALSE)))</f>
        <v/>
      </c>
      <c r="AD274" s="204" t="str">
        <f t="shared" si="33"/>
        <v/>
      </c>
      <c r="AE274" s="61" t="str">
        <f t="shared" si="34"/>
        <v/>
      </c>
      <c r="AF274" s="90"/>
      <c r="AG274" s="90"/>
    </row>
    <row r="275" spans="1:33" x14ac:dyDescent="0.3">
      <c r="A275" s="61">
        <v>9</v>
      </c>
      <c r="B275" s="397"/>
      <c r="C275" s="468"/>
      <c r="D275" s="398"/>
      <c r="E275" s="90"/>
      <c r="F275" s="116"/>
      <c r="G275" s="116"/>
      <c r="H275" s="90"/>
      <c r="I275" s="90"/>
      <c r="J275" s="90"/>
      <c r="K275" s="90"/>
      <c r="L275" s="283" t="str">
        <f>IF(OR($A$237="",$I$235="",K275=""),"",IF($A$237="SSD detektor",K275*VLOOKUP($I$235,Data!$L$46:$M$50,2,FALSE),K275/1.2*VLOOKUP($I$235,Data!$L$46:$M$50,2,FALSE)))</f>
        <v/>
      </c>
      <c r="M275" s="204" t="str">
        <f t="shared" si="31"/>
        <v/>
      </c>
      <c r="N275" s="61" t="str">
        <f t="shared" si="32"/>
        <v/>
      </c>
      <c r="O275" s="90"/>
      <c r="P275" s="90"/>
      <c r="R275" s="61">
        <v>9</v>
      </c>
      <c r="S275" s="397"/>
      <c r="T275" s="468"/>
      <c r="U275" s="398"/>
      <c r="V275" s="90"/>
      <c r="W275" s="116"/>
      <c r="X275" s="90"/>
      <c r="Y275" s="90"/>
      <c r="Z275" s="90"/>
      <c r="AA275" s="90"/>
      <c r="AB275" s="90"/>
      <c r="AC275" s="283" t="str">
        <f>IF(OR($A$237="",$I$235="",AB275=""),"",IF($A$237="SSD detektor",AB275*VLOOKUP($I$235,Data!$L$46:$M$50,2,FALSE),AB275/1.2*VLOOKUP($I$235,Data!$L$46:$M$50,2,FALSE)))</f>
        <v/>
      </c>
      <c r="AD275" s="204" t="str">
        <f t="shared" si="33"/>
        <v/>
      </c>
      <c r="AE275" s="61" t="str">
        <f t="shared" si="34"/>
        <v/>
      </c>
      <c r="AF275" s="90"/>
      <c r="AG275" s="90"/>
    </row>
    <row r="276" spans="1:33" x14ac:dyDescent="0.3">
      <c r="A276" s="61">
        <v>10</v>
      </c>
      <c r="B276" s="397"/>
      <c r="C276" s="468"/>
      <c r="D276" s="398"/>
      <c r="E276" s="90"/>
      <c r="F276" s="116"/>
      <c r="G276" s="116"/>
      <c r="H276" s="90"/>
      <c r="I276" s="90"/>
      <c r="J276" s="90"/>
      <c r="K276" s="90"/>
      <c r="L276" s="283" t="str">
        <f>IF(OR($A$237="",$I$235="",K276=""),"",IF($A$237="SSD detektor",K276*VLOOKUP($I$235,Data!$L$46:$M$50,2,FALSE),K276/1.2*VLOOKUP($I$235,Data!$L$46:$M$50,2,FALSE)))</f>
        <v/>
      </c>
      <c r="M276" s="204" t="str">
        <f t="shared" si="31"/>
        <v/>
      </c>
      <c r="N276" s="61" t="str">
        <f t="shared" si="32"/>
        <v/>
      </c>
      <c r="O276" s="90"/>
      <c r="P276" s="90"/>
      <c r="R276" s="61">
        <v>10</v>
      </c>
      <c r="S276" s="397"/>
      <c r="T276" s="468"/>
      <c r="U276" s="398"/>
      <c r="V276" s="90"/>
      <c r="W276" s="116"/>
      <c r="X276" s="90"/>
      <c r="Y276" s="90"/>
      <c r="Z276" s="90"/>
      <c r="AA276" s="90"/>
      <c r="AB276" s="90"/>
      <c r="AC276" s="283" t="str">
        <f>IF(OR($A$237="",$I$235="",AB276=""),"",IF($A$237="SSD detektor",AB276*VLOOKUP($I$235,Data!$L$46:$M$50,2,FALSE),AB276/1.2*VLOOKUP($I$235,Data!$L$46:$M$50,2,FALSE)))</f>
        <v/>
      </c>
      <c r="AD276" s="204" t="str">
        <f t="shared" si="33"/>
        <v/>
      </c>
      <c r="AE276" s="61" t="str">
        <f t="shared" si="34"/>
        <v/>
      </c>
      <c r="AF276" s="90"/>
      <c r="AG276" s="90"/>
    </row>
    <row r="277" spans="1:33" x14ac:dyDescent="0.3">
      <c r="A277" s="61">
        <v>11</v>
      </c>
      <c r="B277" s="397"/>
      <c r="C277" s="468"/>
      <c r="D277" s="398"/>
      <c r="E277" s="90"/>
      <c r="F277" s="90"/>
      <c r="G277" s="90"/>
      <c r="H277" s="90"/>
      <c r="I277" s="90"/>
      <c r="J277" s="90"/>
      <c r="K277" s="90"/>
      <c r="L277" s="283" t="str">
        <f>IF(OR($A$237="",$I$235="",K277=""),"",IF($A$237="SSD detektor",K277*VLOOKUP($I$235,Data!$L$46:$M$50,2,FALSE),K277/1.2*VLOOKUP($I$235,Data!$L$46:$M$50,2,FALSE)))</f>
        <v/>
      </c>
      <c r="M277" s="204" t="str">
        <f t="shared" si="31"/>
        <v/>
      </c>
      <c r="N277" s="61" t="str">
        <f t="shared" si="32"/>
        <v/>
      </c>
      <c r="O277" s="90"/>
      <c r="P277" s="90"/>
      <c r="R277" s="61">
        <v>11</v>
      </c>
      <c r="S277" s="397"/>
      <c r="T277" s="468"/>
      <c r="U277" s="398"/>
      <c r="V277" s="90"/>
      <c r="W277" s="90"/>
      <c r="X277" s="90"/>
      <c r="Y277" s="90"/>
      <c r="Z277" s="90"/>
      <c r="AA277" s="90"/>
      <c r="AB277" s="90"/>
      <c r="AC277" s="283" t="str">
        <f>IF(OR($A$237="",$I$235="",AB277=""),"",IF($A$237="SSD detektor",AB277*VLOOKUP($I$235,Data!$L$46:$M$50,2,FALSE),AB277/1.2*VLOOKUP($I$235,Data!$L$46:$M$50,2,FALSE)))</f>
        <v/>
      </c>
      <c r="AD277" s="204" t="str">
        <f t="shared" si="33"/>
        <v/>
      </c>
      <c r="AE277" s="61" t="str">
        <f t="shared" si="34"/>
        <v/>
      </c>
      <c r="AF277" s="90"/>
      <c r="AG277" s="90"/>
    </row>
    <row r="278" spans="1:33" x14ac:dyDescent="0.3">
      <c r="A278" s="61">
        <v>12</v>
      </c>
      <c r="B278" s="397"/>
      <c r="C278" s="468"/>
      <c r="D278" s="398"/>
      <c r="E278" s="90"/>
      <c r="F278" s="90"/>
      <c r="G278" s="90"/>
      <c r="H278" s="90"/>
      <c r="I278" s="90"/>
      <c r="J278" s="90"/>
      <c r="K278" s="90"/>
      <c r="L278" s="283" t="str">
        <f>IF(OR($A$237="",$I$235="",K278=""),"",IF($A$237="SSD detektor",K278*VLOOKUP($I$235,Data!$L$46:$M$50,2,FALSE),K278/1.2*VLOOKUP($I$235,Data!$L$46:$M$50,2,FALSE)))</f>
        <v/>
      </c>
      <c r="M278" s="204" t="str">
        <f t="shared" si="31"/>
        <v/>
      </c>
      <c r="N278" s="61" t="str">
        <f t="shared" si="32"/>
        <v/>
      </c>
      <c r="O278" s="90"/>
      <c r="P278" s="90"/>
      <c r="R278" s="61">
        <v>12</v>
      </c>
      <c r="S278" s="397"/>
      <c r="T278" s="468"/>
      <c r="U278" s="398"/>
      <c r="V278" s="90"/>
      <c r="W278" s="90"/>
      <c r="X278" s="90"/>
      <c r="Y278" s="90"/>
      <c r="Z278" s="90"/>
      <c r="AA278" s="90"/>
      <c r="AB278" s="90"/>
      <c r="AC278" s="283" t="str">
        <f>IF(OR($A$237="",$I$235="",AB278=""),"",IF($A$237="SSD detektor",AB278*VLOOKUP($I$235,Data!$L$46:$M$50,2,FALSE),AB278/1.2*VLOOKUP($I$235,Data!$L$46:$M$50,2,FALSE)))</f>
        <v/>
      </c>
      <c r="AD278" s="204" t="str">
        <f t="shared" si="33"/>
        <v/>
      </c>
      <c r="AE278" s="61" t="str">
        <f t="shared" si="34"/>
        <v/>
      </c>
      <c r="AF278" s="90"/>
      <c r="AG278" s="90"/>
    </row>
    <row r="279" spans="1:33" x14ac:dyDescent="0.3">
      <c r="A279" s="61">
        <v>13</v>
      </c>
      <c r="B279" s="397"/>
      <c r="C279" s="468"/>
      <c r="D279" s="398"/>
      <c r="E279" s="90"/>
      <c r="F279" s="90"/>
      <c r="G279" s="90"/>
      <c r="H279" s="90"/>
      <c r="I279" s="90"/>
      <c r="J279" s="90"/>
      <c r="K279" s="90"/>
      <c r="L279" s="283" t="str">
        <f>IF(OR($A$237="",$I$235="",K279=""),"",IF($A$237="SSD detektor",K279*VLOOKUP($I$235,Data!$L$46:$M$50,2,FALSE),K279/1.2*VLOOKUP($I$235,Data!$L$46:$M$50,2,FALSE)))</f>
        <v/>
      </c>
      <c r="M279" s="204" t="str">
        <f t="shared" si="31"/>
        <v/>
      </c>
      <c r="N279" s="61" t="str">
        <f t="shared" si="32"/>
        <v/>
      </c>
      <c r="O279" s="90"/>
      <c r="P279" s="90"/>
      <c r="R279" s="61">
        <v>13</v>
      </c>
      <c r="S279" s="397"/>
      <c r="T279" s="468"/>
      <c r="U279" s="398"/>
      <c r="V279" s="90"/>
      <c r="W279" s="90"/>
      <c r="X279" s="90"/>
      <c r="Y279" s="90"/>
      <c r="Z279" s="90"/>
      <c r="AA279" s="90"/>
      <c r="AB279" s="90"/>
      <c r="AC279" s="283" t="str">
        <f>IF(OR($A$237="",$I$235="",AB279=""),"",IF($A$237="SSD detektor",AB279*VLOOKUP($I$235,Data!$L$46:$M$50,2,FALSE),AB279/1.2*VLOOKUP($I$235,Data!$L$46:$M$50,2,FALSE)))</f>
        <v/>
      </c>
      <c r="AD279" s="204" t="str">
        <f t="shared" si="33"/>
        <v/>
      </c>
      <c r="AE279" s="61" t="str">
        <f t="shared" si="34"/>
        <v/>
      </c>
      <c r="AF279" s="90"/>
      <c r="AG279" s="90"/>
    </row>
    <row r="280" spans="1:33" x14ac:dyDescent="0.3">
      <c r="A280" s="61">
        <v>14</v>
      </c>
      <c r="B280" s="397"/>
      <c r="C280" s="468"/>
      <c r="D280" s="398"/>
      <c r="E280" s="113"/>
      <c r="F280" s="113"/>
      <c r="G280" s="113"/>
      <c r="H280" s="113"/>
      <c r="I280" s="113"/>
      <c r="J280" s="113"/>
      <c r="K280" s="113"/>
      <c r="L280" s="283" t="str">
        <f>IF(OR($A$237="",$I$235="",K280=""),"",IF($A$237="SSD detektor",K280*VLOOKUP($I$235,Data!$L$46:$M$50,2,FALSE),K280/1.2*VLOOKUP($I$235,Data!$L$46:$M$50,2,FALSE)))</f>
        <v/>
      </c>
      <c r="M280" s="204" t="str">
        <f t="shared" si="31"/>
        <v/>
      </c>
      <c r="N280" s="61" t="str">
        <f t="shared" si="32"/>
        <v/>
      </c>
      <c r="O280" s="113"/>
      <c r="P280" s="90"/>
      <c r="R280" s="61">
        <v>14</v>
      </c>
      <c r="S280" s="397"/>
      <c r="T280" s="468"/>
      <c r="U280" s="398"/>
      <c r="V280" s="113"/>
      <c r="W280" s="113"/>
      <c r="X280" s="113"/>
      <c r="Y280" s="113"/>
      <c r="Z280" s="113"/>
      <c r="AA280" s="113"/>
      <c r="AB280" s="113"/>
      <c r="AC280" s="283" t="str">
        <f>IF(OR($A$237="",$I$235="",AB280=""),"",IF($A$237="SSD detektor",AB280*VLOOKUP($I$235,Data!$L$46:$M$50,2,FALSE),AB280/1.2*VLOOKUP($I$235,Data!$L$46:$M$50,2,FALSE)))</f>
        <v/>
      </c>
      <c r="AD280" s="204" t="str">
        <f t="shared" si="33"/>
        <v/>
      </c>
      <c r="AE280" s="61" t="str">
        <f t="shared" si="34"/>
        <v/>
      </c>
      <c r="AF280" s="113"/>
      <c r="AG280" s="90"/>
    </row>
    <row r="281" spans="1:33" x14ac:dyDescent="0.3">
      <c r="A281" s="61">
        <v>15</v>
      </c>
      <c r="B281" s="397"/>
      <c r="C281" s="468"/>
      <c r="D281" s="398"/>
      <c r="E281" s="113"/>
      <c r="F281" s="113"/>
      <c r="G281" s="113"/>
      <c r="H281" s="113"/>
      <c r="I281" s="113"/>
      <c r="J281" s="113"/>
      <c r="K281" s="113"/>
      <c r="L281" s="283" t="str">
        <f>IF(OR($A$237="",$I$235="",K281=""),"",IF($A$237="SSD detektor",K281*VLOOKUP($I$235,Data!$L$46:$M$50,2,FALSE),K281/1.2*VLOOKUP($I$235,Data!$L$46:$M$50,2,FALSE)))</f>
        <v/>
      </c>
      <c r="M281" s="204" t="str">
        <f t="shared" si="31"/>
        <v/>
      </c>
      <c r="N281" s="61" t="str">
        <f t="shared" si="32"/>
        <v/>
      </c>
      <c r="O281" s="113"/>
      <c r="P281" s="90"/>
      <c r="R281" s="61">
        <v>15</v>
      </c>
      <c r="S281" s="397"/>
      <c r="T281" s="468"/>
      <c r="U281" s="398"/>
      <c r="V281" s="113"/>
      <c r="W281" s="113"/>
      <c r="X281" s="113"/>
      <c r="Y281" s="113"/>
      <c r="Z281" s="113"/>
      <c r="AA281" s="113"/>
      <c r="AB281" s="113"/>
      <c r="AC281" s="283" t="str">
        <f>IF(OR($A$237="",$I$235="",AB281=""),"",IF($A$237="SSD detektor",AB281*VLOOKUP($I$235,Data!$L$46:$M$50,2,FALSE),AB281/1.2*VLOOKUP($I$235,Data!$L$46:$M$50,2,FALSE)))</f>
        <v/>
      </c>
      <c r="AD281" s="204" t="str">
        <f t="shared" si="33"/>
        <v/>
      </c>
      <c r="AE281" s="61" t="str">
        <f t="shared" si="34"/>
        <v/>
      </c>
      <c r="AF281" s="113"/>
      <c r="AG281" s="90"/>
    </row>
    <row r="282" spans="1:33" x14ac:dyDescent="0.3">
      <c r="A282" s="61">
        <v>16</v>
      </c>
      <c r="B282" s="397"/>
      <c r="C282" s="468"/>
      <c r="D282" s="398"/>
      <c r="E282" s="113"/>
      <c r="F282" s="113"/>
      <c r="G282" s="113"/>
      <c r="H282" s="113"/>
      <c r="I282" s="113"/>
      <c r="J282" s="113"/>
      <c r="K282" s="113"/>
      <c r="L282" s="283" t="str">
        <f>IF(OR($A$237="",$I$235="",K282=""),"",IF($A$237="SSD detektor",K282*VLOOKUP($I$235,Data!$L$46:$M$50,2,FALSE),K282/1.2*VLOOKUP($I$235,Data!$L$46:$M$50,2,FALSE)))</f>
        <v/>
      </c>
      <c r="M282" s="204" t="str">
        <f t="shared" si="31"/>
        <v/>
      </c>
      <c r="N282" s="61" t="str">
        <f t="shared" si="32"/>
        <v/>
      </c>
      <c r="O282" s="113"/>
      <c r="P282" s="90"/>
      <c r="R282" s="61">
        <v>16</v>
      </c>
      <c r="S282" s="397"/>
      <c r="T282" s="468"/>
      <c r="U282" s="398"/>
      <c r="V282" s="113"/>
      <c r="W282" s="113"/>
      <c r="X282" s="113"/>
      <c r="Y282" s="113"/>
      <c r="Z282" s="113"/>
      <c r="AA282" s="113"/>
      <c r="AB282" s="113"/>
      <c r="AC282" s="283" t="str">
        <f>IF(OR($A$237="",$I$235="",AB282=""),"",IF($A$237="SSD detektor",AB282*VLOOKUP($I$235,Data!$L$46:$M$50,2,FALSE),AB282/1.2*VLOOKUP($I$235,Data!$L$46:$M$50,2,FALSE)))</f>
        <v/>
      </c>
      <c r="AD282" s="204" t="str">
        <f t="shared" si="33"/>
        <v/>
      </c>
      <c r="AE282" s="61" t="str">
        <f t="shared" si="34"/>
        <v/>
      </c>
      <c r="AF282" s="113"/>
      <c r="AG282" s="90"/>
    </row>
    <row r="283" spans="1:33" x14ac:dyDescent="0.3">
      <c r="A283" s="61">
        <v>17</v>
      </c>
      <c r="B283" s="397"/>
      <c r="C283" s="468"/>
      <c r="D283" s="398"/>
      <c r="E283" s="113"/>
      <c r="F283" s="113"/>
      <c r="G283" s="113"/>
      <c r="H283" s="113"/>
      <c r="I283" s="113"/>
      <c r="J283" s="113"/>
      <c r="K283" s="113"/>
      <c r="L283" s="283" t="str">
        <f>IF(OR($A$237="",$I$235="",K283=""),"",IF($A$237="SSD detektor",K283*VLOOKUP($I$235,Data!$L$46:$M$50,2,FALSE),K283/1.2*VLOOKUP($I$235,Data!$L$46:$M$50,2,FALSE)))</f>
        <v/>
      </c>
      <c r="M283" s="204" t="str">
        <f t="shared" si="31"/>
        <v/>
      </c>
      <c r="N283" s="61" t="str">
        <f t="shared" si="32"/>
        <v/>
      </c>
      <c r="O283" s="113"/>
      <c r="P283" s="90"/>
      <c r="R283" s="61">
        <v>17</v>
      </c>
      <c r="S283" s="397"/>
      <c r="T283" s="468"/>
      <c r="U283" s="398"/>
      <c r="V283" s="113"/>
      <c r="W283" s="113"/>
      <c r="X283" s="113"/>
      <c r="Y283" s="113"/>
      <c r="Z283" s="113"/>
      <c r="AA283" s="113"/>
      <c r="AB283" s="113"/>
      <c r="AC283" s="283" t="str">
        <f>IF(OR($A$237="",$I$235="",AB283=""),"",IF($A$237="SSD detektor",AB283*VLOOKUP($I$235,Data!$L$46:$M$50,2,FALSE),AB283/1.2*VLOOKUP($I$235,Data!$L$46:$M$50,2,FALSE)))</f>
        <v/>
      </c>
      <c r="AD283" s="204" t="str">
        <f t="shared" si="33"/>
        <v/>
      </c>
      <c r="AE283" s="61" t="str">
        <f t="shared" si="34"/>
        <v/>
      </c>
      <c r="AF283" s="113"/>
      <c r="AG283" s="90"/>
    </row>
    <row r="284" spans="1:33" x14ac:dyDescent="0.3">
      <c r="A284" s="61">
        <v>18</v>
      </c>
      <c r="B284" s="397"/>
      <c r="C284" s="468"/>
      <c r="D284" s="398"/>
      <c r="E284" s="113"/>
      <c r="F284" s="113"/>
      <c r="G284" s="113"/>
      <c r="H284" s="113"/>
      <c r="I284" s="113"/>
      <c r="J284" s="113"/>
      <c r="K284" s="113"/>
      <c r="L284" s="283" t="str">
        <f>IF(OR($A$237="",$I$235="",K284=""),"",IF($A$237="SSD detektor",K284*VLOOKUP($I$235,Data!$L$46:$M$50,2,FALSE),K284/1.2*VLOOKUP($I$235,Data!$L$46:$M$50,2,FALSE)))</f>
        <v/>
      </c>
      <c r="M284" s="204" t="str">
        <f t="shared" si="31"/>
        <v/>
      </c>
      <c r="N284" s="61" t="str">
        <f t="shared" si="32"/>
        <v/>
      </c>
      <c r="O284" s="113"/>
      <c r="P284" s="90"/>
      <c r="R284" s="61">
        <v>18</v>
      </c>
      <c r="S284" s="397"/>
      <c r="T284" s="468"/>
      <c r="U284" s="398"/>
      <c r="V284" s="113"/>
      <c r="W284" s="113"/>
      <c r="X284" s="113"/>
      <c r="Y284" s="113"/>
      <c r="Z284" s="113"/>
      <c r="AA284" s="113"/>
      <c r="AB284" s="113"/>
      <c r="AC284" s="283" t="str">
        <f>IF(OR($A$237="",$I$235="",AB284=""),"",IF($A$237="SSD detektor",AB284*VLOOKUP($I$235,Data!$L$46:$M$50,2,FALSE),AB284/1.2*VLOOKUP($I$235,Data!$L$46:$M$50,2,FALSE)))</f>
        <v/>
      </c>
      <c r="AD284" s="204" t="str">
        <f t="shared" si="33"/>
        <v/>
      </c>
      <c r="AE284" s="61" t="str">
        <f t="shared" si="34"/>
        <v/>
      </c>
      <c r="AF284" s="113"/>
      <c r="AG284" s="90"/>
    </row>
    <row r="285" spans="1:33" x14ac:dyDescent="0.3">
      <c r="A285" s="61">
        <v>19</v>
      </c>
      <c r="B285" s="397"/>
      <c r="C285" s="468"/>
      <c r="D285" s="398"/>
      <c r="E285" s="113"/>
      <c r="F285" s="113"/>
      <c r="G285" s="113"/>
      <c r="H285" s="113"/>
      <c r="I285" s="113"/>
      <c r="J285" s="113"/>
      <c r="K285" s="113"/>
      <c r="L285" s="283" t="str">
        <f>IF(OR($A$237="",$I$235="",K285=""),"",IF($A$237="SSD detektor",K285*VLOOKUP($I$235,Data!$L$46:$M$50,2,FALSE),K285/1.2*VLOOKUP($I$235,Data!$L$46:$M$50,2,FALSE)))</f>
        <v/>
      </c>
      <c r="M285" s="204" t="str">
        <f t="shared" si="31"/>
        <v/>
      </c>
      <c r="N285" s="61" t="str">
        <f t="shared" si="32"/>
        <v/>
      </c>
      <c r="O285" s="113"/>
      <c r="P285" s="90"/>
      <c r="R285" s="61">
        <v>19</v>
      </c>
      <c r="S285" s="397"/>
      <c r="T285" s="468"/>
      <c r="U285" s="398"/>
      <c r="V285" s="113"/>
      <c r="W285" s="113"/>
      <c r="X285" s="113"/>
      <c r="Y285" s="113"/>
      <c r="Z285" s="113"/>
      <c r="AA285" s="113"/>
      <c r="AB285" s="113"/>
      <c r="AC285" s="283" t="str">
        <f>IF(OR($A$237="",$I$235="",AB285=""),"",IF($A$237="SSD detektor",AB285*VLOOKUP($I$235,Data!$L$46:$M$50,2,FALSE),AB285/1.2*VLOOKUP($I$235,Data!$L$46:$M$50,2,FALSE)))</f>
        <v/>
      </c>
      <c r="AD285" s="204" t="str">
        <f t="shared" si="33"/>
        <v/>
      </c>
      <c r="AE285" s="61" t="str">
        <f t="shared" si="34"/>
        <v/>
      </c>
      <c r="AF285" s="113"/>
      <c r="AG285" s="90"/>
    </row>
    <row r="286" spans="1:33" x14ac:dyDescent="0.3">
      <c r="A286" s="61">
        <v>20</v>
      </c>
      <c r="B286" s="397"/>
      <c r="C286" s="468"/>
      <c r="D286" s="398"/>
      <c r="E286" s="90"/>
      <c r="F286" s="90"/>
      <c r="G286" s="90"/>
      <c r="H286" s="90"/>
      <c r="I286" s="90"/>
      <c r="J286" s="90"/>
      <c r="K286" s="90"/>
      <c r="L286" s="283" t="str">
        <f>IF(OR($A$237="",$I$235="",K286=""),"",IF($A$237="SSD detektor",K286*VLOOKUP($I$235,Data!$L$46:$M$50,2,FALSE),K286/1.2*VLOOKUP($I$235,Data!$L$46:$M$50,2,FALSE)))</f>
        <v/>
      </c>
      <c r="M286" s="204" t="str">
        <f t="shared" si="31"/>
        <v/>
      </c>
      <c r="N286" s="61" t="str">
        <f t="shared" si="32"/>
        <v/>
      </c>
      <c r="O286" s="90"/>
      <c r="P286" s="90"/>
      <c r="R286" s="61">
        <v>20</v>
      </c>
      <c r="S286" s="397"/>
      <c r="T286" s="468"/>
      <c r="U286" s="398"/>
      <c r="V286" s="90"/>
      <c r="W286" s="90"/>
      <c r="X286" s="90"/>
      <c r="Y286" s="90"/>
      <c r="Z286" s="90"/>
      <c r="AA286" s="90"/>
      <c r="AB286" s="90"/>
      <c r="AC286" s="283" t="str">
        <f>IF(OR($A$237="",$I$235="",AB286=""),"",IF($A$237="SSD detektor",AB286*VLOOKUP($I$235,Data!$L$46:$M$50,2,FALSE),AB286/1.2*VLOOKUP($I$235,Data!$L$46:$M$50,2,FALSE)))</f>
        <v/>
      </c>
      <c r="AD286" s="204" t="str">
        <f t="shared" si="33"/>
        <v/>
      </c>
      <c r="AE286" s="61" t="str">
        <f t="shared" si="34"/>
        <v/>
      </c>
      <c r="AF286" s="90"/>
      <c r="AG286" s="90"/>
    </row>
    <row r="289" spans="1:17" ht="18" x14ac:dyDescent="0.35">
      <c r="A289" s="46" t="s">
        <v>330</v>
      </c>
      <c r="B289" s="48"/>
      <c r="C289" s="48"/>
      <c r="D289" s="48"/>
      <c r="E289" s="48"/>
      <c r="F289" s="135" t="s">
        <v>471</v>
      </c>
      <c r="G289" s="135"/>
      <c r="H289" s="48"/>
      <c r="I289" s="135"/>
      <c r="J289" s="48"/>
      <c r="K289" s="48"/>
      <c r="L289" s="48"/>
      <c r="M289" s="48"/>
      <c r="N289" s="48"/>
      <c r="O289" s="48"/>
      <c r="P289" s="48"/>
      <c r="Q289" s="54"/>
    </row>
    <row r="290" spans="1:17" x14ac:dyDescent="0.3">
      <c r="Q290" s="54"/>
    </row>
    <row r="291" spans="1:17" x14ac:dyDescent="0.3">
      <c r="A291" s="49" t="s">
        <v>331</v>
      </c>
      <c r="B291" s="50"/>
      <c r="C291" s="50"/>
      <c r="D291" s="50"/>
      <c r="E291" s="50"/>
      <c r="F291" s="50"/>
      <c r="G291" s="50"/>
      <c r="H291" s="50"/>
      <c r="I291" s="50"/>
      <c r="J291" s="50"/>
      <c r="K291" s="50"/>
      <c r="L291" s="73" t="s">
        <v>96</v>
      </c>
      <c r="M291" s="50"/>
      <c r="N291" s="73"/>
      <c r="O291" s="50"/>
      <c r="P291" s="73"/>
      <c r="Q291" s="54"/>
    </row>
    <row r="292" spans="1:17" x14ac:dyDescent="0.3">
      <c r="A292" s="51" t="s">
        <v>44</v>
      </c>
      <c r="B292" s="52" t="s">
        <v>134</v>
      </c>
      <c r="C292" s="52"/>
      <c r="D292" s="52"/>
      <c r="E292" s="52"/>
      <c r="F292" s="52"/>
      <c r="G292" s="52"/>
      <c r="H292" s="52"/>
      <c r="I292" s="52"/>
      <c r="J292" s="52"/>
      <c r="K292" s="52"/>
      <c r="L292" s="478"/>
      <c r="M292" s="479"/>
      <c r="N292" s="479"/>
      <c r="O292" s="479"/>
      <c r="P292" s="480"/>
      <c r="Q292" s="54"/>
    </row>
    <row r="293" spans="1:17" x14ac:dyDescent="0.3">
      <c r="A293" s="44" t="s">
        <v>45</v>
      </c>
      <c r="B293" s="233" t="s">
        <v>334</v>
      </c>
      <c r="C293" s="54"/>
      <c r="D293" s="54"/>
      <c r="E293" s="54"/>
      <c r="F293" s="54"/>
      <c r="G293" s="54"/>
      <c r="H293" s="54"/>
      <c r="I293" s="54"/>
      <c r="J293" s="54"/>
      <c r="K293" s="54"/>
      <c r="L293" s="456"/>
      <c r="M293" s="457"/>
      <c r="N293" s="457"/>
      <c r="O293" s="457"/>
      <c r="P293" s="458"/>
      <c r="Q293" s="54"/>
    </row>
    <row r="294" spans="1:17" x14ac:dyDescent="0.3">
      <c r="A294" s="53" t="s">
        <v>46</v>
      </c>
      <c r="B294" s="233" t="s">
        <v>335</v>
      </c>
      <c r="C294" s="54"/>
      <c r="D294" s="54"/>
      <c r="E294" s="54"/>
      <c r="F294" s="54"/>
      <c r="G294" s="54"/>
      <c r="H294" s="54"/>
      <c r="I294" s="54"/>
      <c r="J294" s="54"/>
      <c r="K294" s="54"/>
      <c r="L294" s="456"/>
      <c r="M294" s="457"/>
      <c r="N294" s="457"/>
      <c r="O294" s="457"/>
      <c r="P294" s="458"/>
      <c r="Q294" s="54"/>
    </row>
    <row r="295" spans="1:17" x14ac:dyDescent="0.3">
      <c r="A295" s="44"/>
      <c r="B295" s="233" t="s">
        <v>531</v>
      </c>
      <c r="C295" s="54"/>
      <c r="D295" s="54"/>
      <c r="E295" s="54"/>
      <c r="F295" s="54"/>
      <c r="G295" s="54"/>
      <c r="H295" s="54"/>
      <c r="I295" s="54"/>
      <c r="J295" s="54"/>
      <c r="K295" s="54"/>
      <c r="L295" s="456"/>
      <c r="M295" s="457"/>
      <c r="N295" s="457"/>
      <c r="O295" s="457"/>
      <c r="P295" s="458"/>
      <c r="Q295" s="54"/>
    </row>
    <row r="296" spans="1:17" x14ac:dyDescent="0.3">
      <c r="A296" s="44"/>
      <c r="B296" s="233" t="s">
        <v>336</v>
      </c>
      <c r="C296" s="54"/>
      <c r="D296" s="54"/>
      <c r="E296" s="54"/>
      <c r="F296" s="54"/>
      <c r="G296" s="54"/>
      <c r="H296" s="54"/>
      <c r="I296" s="54"/>
      <c r="J296" s="54"/>
      <c r="K296" s="54"/>
      <c r="L296" s="456"/>
      <c r="M296" s="457"/>
      <c r="N296" s="457"/>
      <c r="O296" s="457"/>
      <c r="P296" s="458"/>
      <c r="Q296" s="54"/>
    </row>
    <row r="297" spans="1:17" x14ac:dyDescent="0.3">
      <c r="A297" s="44"/>
      <c r="B297" s="233" t="s">
        <v>717</v>
      </c>
      <c r="C297" s="54"/>
      <c r="D297" s="54"/>
      <c r="E297" s="54"/>
      <c r="F297" s="54"/>
      <c r="G297" s="54"/>
      <c r="H297" s="54"/>
      <c r="I297" s="54"/>
      <c r="J297" s="54"/>
      <c r="K297" s="54"/>
      <c r="L297" s="456"/>
      <c r="M297" s="457"/>
      <c r="N297" s="457"/>
      <c r="O297" s="457"/>
      <c r="P297" s="458"/>
      <c r="Q297" s="54"/>
    </row>
    <row r="298" spans="1:17" x14ac:dyDescent="0.3">
      <c r="A298" s="44"/>
      <c r="B298" s="233" t="s">
        <v>718</v>
      </c>
      <c r="C298" s="54"/>
      <c r="D298" s="54"/>
      <c r="E298" s="54"/>
      <c r="F298" s="54"/>
      <c r="G298" s="54"/>
      <c r="H298" s="54"/>
      <c r="I298" s="54"/>
      <c r="J298" s="54"/>
      <c r="K298" s="54"/>
      <c r="L298" s="456"/>
      <c r="M298" s="457"/>
      <c r="N298" s="457"/>
      <c r="O298" s="457"/>
      <c r="P298" s="458"/>
      <c r="Q298" s="54"/>
    </row>
    <row r="299" spans="1:17" x14ac:dyDescent="0.3">
      <c r="A299" s="53" t="s">
        <v>47</v>
      </c>
      <c r="B299" s="233" t="s">
        <v>337</v>
      </c>
      <c r="C299" s="54"/>
      <c r="D299" s="54"/>
      <c r="E299" s="54"/>
      <c r="F299" s="54"/>
      <c r="G299" s="54"/>
      <c r="H299" s="54"/>
      <c r="I299" s="54"/>
      <c r="J299" s="54"/>
      <c r="K299" s="54"/>
      <c r="L299" s="456"/>
      <c r="M299" s="457"/>
      <c r="N299" s="457"/>
      <c r="O299" s="457"/>
      <c r="P299" s="458"/>
      <c r="Q299" s="54"/>
    </row>
    <row r="300" spans="1:17" x14ac:dyDescent="0.3">
      <c r="A300" s="44"/>
      <c r="B300" s="233" t="s">
        <v>719</v>
      </c>
      <c r="C300" s="54"/>
      <c r="D300" s="54"/>
      <c r="E300" s="54"/>
      <c r="F300" s="54"/>
      <c r="G300" s="54"/>
      <c r="H300" s="54"/>
      <c r="I300" s="54"/>
      <c r="J300" s="54"/>
      <c r="K300" s="54"/>
      <c r="L300" s="456"/>
      <c r="M300" s="457"/>
      <c r="N300" s="457"/>
      <c r="O300" s="457"/>
      <c r="P300" s="458"/>
      <c r="Q300" s="54"/>
    </row>
    <row r="301" spans="1:17" x14ac:dyDescent="0.3">
      <c r="A301" s="264"/>
      <c r="B301" s="182"/>
      <c r="C301" s="84"/>
      <c r="D301" s="84"/>
      <c r="E301" s="84"/>
      <c r="F301" s="84"/>
      <c r="G301" s="84"/>
      <c r="H301" s="84"/>
      <c r="I301" s="84"/>
      <c r="J301" s="84"/>
      <c r="K301" s="84"/>
      <c r="L301" s="484"/>
      <c r="M301" s="485"/>
      <c r="N301" s="485"/>
      <c r="O301" s="485"/>
      <c r="P301" s="486"/>
      <c r="Q301" s="92"/>
    </row>
    <row r="302" spans="1:17" x14ac:dyDescent="0.3">
      <c r="Q302" s="54"/>
    </row>
    <row r="303" spans="1:17" x14ac:dyDescent="0.3">
      <c r="A303" s="56" t="s">
        <v>332</v>
      </c>
      <c r="B303" s="57"/>
      <c r="C303" s="57"/>
      <c r="D303" s="57"/>
      <c r="E303" s="57"/>
      <c r="F303" s="57"/>
      <c r="G303" s="57"/>
      <c r="H303" s="57"/>
      <c r="I303" s="57"/>
      <c r="J303" s="57"/>
      <c r="K303" s="57"/>
      <c r="L303" s="57"/>
      <c r="M303" s="57"/>
      <c r="N303" s="57"/>
      <c r="O303" s="57"/>
      <c r="P303" s="57"/>
      <c r="Q303" s="54"/>
    </row>
    <row r="304" spans="1:17" x14ac:dyDescent="0.3">
      <c r="Q304" s="54"/>
    </row>
    <row r="305" spans="1:17" x14ac:dyDescent="0.3">
      <c r="A305" s="58"/>
      <c r="B305" s="58"/>
      <c r="C305" s="188"/>
      <c r="D305" s="254"/>
      <c r="E305" s="254"/>
      <c r="F305" s="254"/>
      <c r="G305" s="254"/>
      <c r="H305" s="276"/>
      <c r="I305" s="58" t="s">
        <v>341</v>
      </c>
      <c r="J305" s="459"/>
      <c r="K305" s="460"/>
      <c r="L305" s="460"/>
      <c r="M305" s="460"/>
      <c r="N305" s="460"/>
      <c r="O305" s="461"/>
      <c r="Q305" s="54"/>
    </row>
    <row r="306" spans="1:17" x14ac:dyDescent="0.3">
      <c r="A306" s="59"/>
      <c r="B306" s="59"/>
      <c r="C306" s="206"/>
      <c r="D306" s="280"/>
      <c r="E306" s="280"/>
      <c r="F306" s="280"/>
      <c r="G306" s="280"/>
      <c r="H306" s="281"/>
      <c r="I306" s="59" t="s">
        <v>342</v>
      </c>
      <c r="J306" s="462"/>
      <c r="K306" s="463"/>
      <c r="L306" s="463"/>
      <c r="M306" s="463"/>
      <c r="N306" s="463"/>
      <c r="O306" s="464"/>
      <c r="Q306" s="54"/>
    </row>
    <row r="307" spans="1:17" x14ac:dyDescent="0.3">
      <c r="A307" s="60" t="s">
        <v>48</v>
      </c>
      <c r="B307" s="60" t="s">
        <v>340</v>
      </c>
      <c r="C307" s="207"/>
      <c r="D307" s="255"/>
      <c r="E307" s="255"/>
      <c r="F307" s="255"/>
      <c r="G307" s="255"/>
      <c r="H307" s="305"/>
      <c r="I307" s="60" t="s">
        <v>130</v>
      </c>
      <c r="J307" s="465" t="s">
        <v>96</v>
      </c>
      <c r="K307" s="466"/>
      <c r="L307" s="466"/>
      <c r="M307" s="466"/>
      <c r="N307" s="466"/>
      <c r="O307" s="467"/>
      <c r="Q307" s="54"/>
    </row>
    <row r="308" spans="1:17" x14ac:dyDescent="0.3">
      <c r="A308" s="144">
        <v>1</v>
      </c>
      <c r="B308" s="144" t="s">
        <v>338</v>
      </c>
      <c r="C308" s="260" t="s">
        <v>339</v>
      </c>
      <c r="D308" s="234"/>
      <c r="E308" s="234"/>
      <c r="F308" s="234"/>
      <c r="G308" s="234"/>
      <c r="H308" s="237"/>
      <c r="I308" s="113"/>
      <c r="J308" s="432"/>
      <c r="K308" s="433"/>
      <c r="L308" s="433"/>
      <c r="M308" s="433"/>
      <c r="N308" s="433"/>
      <c r="O308" s="434"/>
      <c r="Q308" s="54"/>
    </row>
    <row r="309" spans="1:17" x14ac:dyDescent="0.3">
      <c r="A309" s="306">
        <v>2</v>
      </c>
      <c r="B309" s="243" t="s">
        <v>439</v>
      </c>
      <c r="C309" s="182" t="s">
        <v>488</v>
      </c>
      <c r="D309" s="182"/>
      <c r="E309" s="182"/>
      <c r="F309" s="182"/>
      <c r="G309" s="182"/>
      <c r="H309" s="182"/>
      <c r="I309" s="115"/>
      <c r="J309" s="429"/>
      <c r="K309" s="430"/>
      <c r="L309" s="430"/>
      <c r="M309" s="430"/>
      <c r="N309" s="430"/>
      <c r="O309" s="431"/>
      <c r="Q309" s="54"/>
    </row>
  </sheetData>
  <sheetProtection sheet="1" objects="1" scenarios="1"/>
  <mergeCells count="268">
    <mergeCell ref="T144:V144"/>
    <mergeCell ref="T145:V145"/>
    <mergeCell ref="T131:V131"/>
    <mergeCell ref="T136:V136"/>
    <mergeCell ref="T137:V137"/>
    <mergeCell ref="T138:V138"/>
    <mergeCell ref="T139:V139"/>
    <mergeCell ref="T140:V140"/>
    <mergeCell ref="T141:V141"/>
    <mergeCell ref="T142:V142"/>
    <mergeCell ref="T143:V143"/>
    <mergeCell ref="T122:V122"/>
    <mergeCell ref="T123:V123"/>
    <mergeCell ref="T124:V124"/>
    <mergeCell ref="T125:V125"/>
    <mergeCell ref="T126:V126"/>
    <mergeCell ref="T127:V127"/>
    <mergeCell ref="T128:V128"/>
    <mergeCell ref="T129:V129"/>
    <mergeCell ref="T130:V130"/>
    <mergeCell ref="C1:E1"/>
    <mergeCell ref="C2:E2"/>
    <mergeCell ref="C3:E3"/>
    <mergeCell ref="C4:E4"/>
    <mergeCell ref="C5:E5"/>
    <mergeCell ref="J1:L1"/>
    <mergeCell ref="J2:L2"/>
    <mergeCell ref="J3:L3"/>
    <mergeCell ref="J4:L4"/>
    <mergeCell ref="J5:L5"/>
    <mergeCell ref="L220:P220"/>
    <mergeCell ref="L221:P221"/>
    <mergeCell ref="L222:P222"/>
    <mergeCell ref="L223:P223"/>
    <mergeCell ref="L224:P224"/>
    <mergeCell ref="L225:P225"/>
    <mergeCell ref="L226:P226"/>
    <mergeCell ref="L227:P227"/>
    <mergeCell ref="P1:Q1"/>
    <mergeCell ref="P2:Q2"/>
    <mergeCell ref="P3:Q3"/>
    <mergeCell ref="P4:Q4"/>
    <mergeCell ref="P5:Q5"/>
    <mergeCell ref="N12:Q12"/>
    <mergeCell ref="N67:Q67"/>
    <mergeCell ref="N38:Q38"/>
    <mergeCell ref="N39:Q39"/>
    <mergeCell ref="N40:Q40"/>
    <mergeCell ref="N17:Q17"/>
    <mergeCell ref="N18:Q18"/>
    <mergeCell ref="N19:Q19"/>
    <mergeCell ref="N20:Q20"/>
    <mergeCell ref="N21:Q21"/>
    <mergeCell ref="N22:Q22"/>
    <mergeCell ref="B142:D142"/>
    <mergeCell ref="B143:D143"/>
    <mergeCell ref="B144:D144"/>
    <mergeCell ref="L294:P294"/>
    <mergeCell ref="L295:P295"/>
    <mergeCell ref="L296:P296"/>
    <mergeCell ref="L297:P297"/>
    <mergeCell ref="L298:P298"/>
    <mergeCell ref="L299:P299"/>
    <mergeCell ref="B198:D198"/>
    <mergeCell ref="B207:D207"/>
    <mergeCell ref="B196:D196"/>
    <mergeCell ref="B197:D197"/>
    <mergeCell ref="L213:P213"/>
    <mergeCell ref="B205:D205"/>
    <mergeCell ref="B206:D206"/>
    <mergeCell ref="B145:D145"/>
    <mergeCell ref="N154:Q154"/>
    <mergeCell ref="N155:Q155"/>
    <mergeCell ref="N156:Q156"/>
    <mergeCell ref="N157:Q157"/>
    <mergeCell ref="N167:Q167"/>
    <mergeCell ref="N168:Q168"/>
    <mergeCell ref="N169:Q169"/>
    <mergeCell ref="B129:D129"/>
    <mergeCell ref="B130:D130"/>
    <mergeCell ref="B131:D131"/>
    <mergeCell ref="B136:D136"/>
    <mergeCell ref="B137:D137"/>
    <mergeCell ref="B138:D138"/>
    <mergeCell ref="B139:D139"/>
    <mergeCell ref="B140:D140"/>
    <mergeCell ref="B141:D141"/>
    <mergeCell ref="U206:W206"/>
    <mergeCell ref="U207:W207"/>
    <mergeCell ref="L292:P292"/>
    <mergeCell ref="L293:P293"/>
    <mergeCell ref="L228:P228"/>
    <mergeCell ref="L301:P301"/>
    <mergeCell ref="L214:P214"/>
    <mergeCell ref="L215:P215"/>
    <mergeCell ref="L216:P216"/>
    <mergeCell ref="L217:P217"/>
    <mergeCell ref="L218:P218"/>
    <mergeCell ref="S267:U267"/>
    <mergeCell ref="S268:U268"/>
    <mergeCell ref="S269:U269"/>
    <mergeCell ref="S270:U270"/>
    <mergeCell ref="S271:U271"/>
    <mergeCell ref="S272:U272"/>
    <mergeCell ref="S273:U273"/>
    <mergeCell ref="S274:U274"/>
    <mergeCell ref="S275:U275"/>
    <mergeCell ref="S276:U276"/>
    <mergeCell ref="S277:U277"/>
    <mergeCell ref="L300:P300"/>
    <mergeCell ref="L219:P219"/>
    <mergeCell ref="U197:W197"/>
    <mergeCell ref="U198:W198"/>
    <mergeCell ref="U205:W205"/>
    <mergeCell ref="N88:Q88"/>
    <mergeCell ref="N89:Q89"/>
    <mergeCell ref="N91:Q91"/>
    <mergeCell ref="N92:Q92"/>
    <mergeCell ref="N93:Q93"/>
    <mergeCell ref="N94:Q94"/>
    <mergeCell ref="N95:Q95"/>
    <mergeCell ref="N96:Q96"/>
    <mergeCell ref="N97:Q97"/>
    <mergeCell ref="N98:Q98"/>
    <mergeCell ref="N99:Q99"/>
    <mergeCell ref="N173:Q173"/>
    <mergeCell ref="N102:Q102"/>
    <mergeCell ref="N103:Q103"/>
    <mergeCell ref="N104:Q104"/>
    <mergeCell ref="N105:Q105"/>
    <mergeCell ref="N152:Q152"/>
    <mergeCell ref="N170:Q170"/>
    <mergeCell ref="N171:Q171"/>
    <mergeCell ref="N172:Q172"/>
    <mergeCell ref="N153:Q153"/>
    <mergeCell ref="U196:W196"/>
    <mergeCell ref="N90:Q90"/>
    <mergeCell ref="N100:Q100"/>
    <mergeCell ref="N101:Q101"/>
    <mergeCell ref="N13:Q13"/>
    <mergeCell ref="B122:D122"/>
    <mergeCell ref="B123:D123"/>
    <mergeCell ref="B124:D124"/>
    <mergeCell ref="B125:D125"/>
    <mergeCell ref="B126:D126"/>
    <mergeCell ref="B127:D127"/>
    <mergeCell ref="B128:D128"/>
    <mergeCell ref="N158:Q158"/>
    <mergeCell ref="N159:Q159"/>
    <mergeCell ref="N160:Q160"/>
    <mergeCell ref="N161:Q161"/>
    <mergeCell ref="N162:Q162"/>
    <mergeCell ref="N163:Q163"/>
    <mergeCell ref="N164:Q164"/>
    <mergeCell ref="N165:Q165"/>
    <mergeCell ref="N166:Q166"/>
    <mergeCell ref="N14:Q14"/>
    <mergeCell ref="N15:Q15"/>
    <mergeCell ref="N16:Q16"/>
    <mergeCell ref="B244:D244"/>
    <mergeCell ref="B245:D245"/>
    <mergeCell ref="B246:D246"/>
    <mergeCell ref="B247:D247"/>
    <mergeCell ref="B248:D248"/>
    <mergeCell ref="B249:D249"/>
    <mergeCell ref="B250:D250"/>
    <mergeCell ref="B251:D251"/>
    <mergeCell ref="B252:D252"/>
    <mergeCell ref="B253:D253"/>
    <mergeCell ref="B254:D254"/>
    <mergeCell ref="B255:D255"/>
    <mergeCell ref="B256:D256"/>
    <mergeCell ref="B257:D257"/>
    <mergeCell ref="B258:D258"/>
    <mergeCell ref="B259:D259"/>
    <mergeCell ref="B260:D260"/>
    <mergeCell ref="B261:D261"/>
    <mergeCell ref="B262:D262"/>
    <mergeCell ref="B263:D263"/>
    <mergeCell ref="B267:D267"/>
    <mergeCell ref="B268:D268"/>
    <mergeCell ref="B269:D269"/>
    <mergeCell ref="B270:D270"/>
    <mergeCell ref="B271:D271"/>
    <mergeCell ref="B272:D272"/>
    <mergeCell ref="B273:D273"/>
    <mergeCell ref="B274:D274"/>
    <mergeCell ref="B275:D275"/>
    <mergeCell ref="B276:D276"/>
    <mergeCell ref="B277:D277"/>
    <mergeCell ref="B278:D278"/>
    <mergeCell ref="B279:D279"/>
    <mergeCell ref="B280:D280"/>
    <mergeCell ref="B281:D281"/>
    <mergeCell ref="B282:D282"/>
    <mergeCell ref="B283:D283"/>
    <mergeCell ref="B284:D284"/>
    <mergeCell ref="B285:D285"/>
    <mergeCell ref="B286:D286"/>
    <mergeCell ref="S244:U244"/>
    <mergeCell ref="S245:U245"/>
    <mergeCell ref="S246:U246"/>
    <mergeCell ref="S247:U247"/>
    <mergeCell ref="S248:U248"/>
    <mergeCell ref="S249:U249"/>
    <mergeCell ref="S250:U250"/>
    <mergeCell ref="S251:U251"/>
    <mergeCell ref="S252:U252"/>
    <mergeCell ref="S253:U253"/>
    <mergeCell ref="S254:U254"/>
    <mergeCell ref="S255:U255"/>
    <mergeCell ref="S256:U256"/>
    <mergeCell ref="S257:U257"/>
    <mergeCell ref="S258:U258"/>
    <mergeCell ref="S259:U259"/>
    <mergeCell ref="S260:U260"/>
    <mergeCell ref="S261:U261"/>
    <mergeCell ref="S262:U262"/>
    <mergeCell ref="S263:U263"/>
    <mergeCell ref="J305:O305"/>
    <mergeCell ref="J306:O306"/>
    <mergeCell ref="J307:O307"/>
    <mergeCell ref="J308:O308"/>
    <mergeCell ref="J309:O309"/>
    <mergeCell ref="S278:U278"/>
    <mergeCell ref="S279:U279"/>
    <mergeCell ref="S280:U280"/>
    <mergeCell ref="S281:U281"/>
    <mergeCell ref="S282:U282"/>
    <mergeCell ref="S283:U283"/>
    <mergeCell ref="S284:U284"/>
    <mergeCell ref="S285:U285"/>
    <mergeCell ref="S286:U286"/>
    <mergeCell ref="N23:Q23"/>
    <mergeCell ref="N24:Q24"/>
    <mergeCell ref="N25:Q25"/>
    <mergeCell ref="N26:Q26"/>
    <mergeCell ref="N27:Q27"/>
    <mergeCell ref="N28:Q28"/>
    <mergeCell ref="N29:Q29"/>
    <mergeCell ref="N30:Q30"/>
    <mergeCell ref="N31:Q31"/>
    <mergeCell ref="N32:Q32"/>
    <mergeCell ref="N33:Q33"/>
    <mergeCell ref="N34:Q34"/>
    <mergeCell ref="N35:Q35"/>
    <mergeCell ref="N36:Q36"/>
    <mergeCell ref="N37:Q37"/>
    <mergeCell ref="N68:Q68"/>
    <mergeCell ref="N69:Q69"/>
    <mergeCell ref="N70:Q70"/>
    <mergeCell ref="N80:Q80"/>
    <mergeCell ref="N81:Q81"/>
    <mergeCell ref="N82:Q82"/>
    <mergeCell ref="N83:Q83"/>
    <mergeCell ref="N84:Q84"/>
    <mergeCell ref="N85:Q85"/>
    <mergeCell ref="N86:Q86"/>
    <mergeCell ref="N87:Q87"/>
    <mergeCell ref="N71:Q71"/>
    <mergeCell ref="N72:Q72"/>
    <mergeCell ref="N73:Q73"/>
    <mergeCell ref="N74:Q74"/>
    <mergeCell ref="N75:Q75"/>
    <mergeCell ref="N76:Q76"/>
    <mergeCell ref="N77:Q77"/>
    <mergeCell ref="N78:Q78"/>
    <mergeCell ref="N79:Q79"/>
  </mergeCells>
  <conditionalFormatting sqref="A50">
    <cfRule type="expression" dxfId="131" priority="40">
      <formula>$A$48="cirkulær"</formula>
    </cfRule>
  </conditionalFormatting>
  <conditionalFormatting sqref="G59:G61">
    <cfRule type="expression" dxfId="130" priority="100">
      <formula>"$A$109=""KAP meter"""</formula>
    </cfRule>
  </conditionalFormatting>
  <conditionalFormatting sqref="J59:J61">
    <cfRule type="cellIs" dxfId="129" priority="104" operator="equal">
      <formula>"OK"</formula>
    </cfRule>
    <cfRule type="cellIs" dxfId="128" priority="103" operator="equal">
      <formula>"IKKE OK"</formula>
    </cfRule>
  </conditionalFormatting>
  <conditionalFormatting sqref="K59:K61">
    <cfRule type="cellIs" dxfId="127" priority="4" operator="equal">
      <formula>"nej"</formula>
    </cfRule>
    <cfRule type="cellIs" dxfId="126" priority="5" operator="equal">
      <formula>"ja"</formula>
    </cfRule>
  </conditionalFormatting>
  <conditionalFormatting sqref="N244:N263">
    <cfRule type="cellIs" dxfId="125" priority="107" operator="equal">
      <formula>"IKKE OK"</formula>
    </cfRule>
    <cfRule type="cellIs" dxfId="124" priority="108" operator="equal">
      <formula>"OK"</formula>
    </cfRule>
  </conditionalFormatting>
  <conditionalFormatting sqref="N267:N286">
    <cfRule type="cellIs" dxfId="123" priority="87" operator="equal">
      <formula>"OK"</formula>
    </cfRule>
    <cfRule type="cellIs" dxfId="122" priority="86" operator="equal">
      <formula>"IKKE OK"</formula>
    </cfRule>
  </conditionalFormatting>
  <conditionalFormatting sqref="P59:P61">
    <cfRule type="cellIs" dxfId="121" priority="101" operator="equal">
      <formula>"IKKE OK"</formula>
    </cfRule>
    <cfRule type="cellIs" dxfId="120" priority="102" operator="equal">
      <formula>"OK"</formula>
    </cfRule>
  </conditionalFormatting>
  <conditionalFormatting sqref="P196:P198">
    <cfRule type="cellIs" dxfId="119" priority="44" operator="equal">
      <formula>"IKKE OK"</formula>
    </cfRule>
    <cfRule type="cellIs" dxfId="118" priority="45" operator="equal">
      <formula>"OK"</formula>
    </cfRule>
  </conditionalFormatting>
  <conditionalFormatting sqref="P244:P263">
    <cfRule type="cellIs" dxfId="117" priority="93" operator="equal">
      <formula>"OK"</formula>
    </cfRule>
    <cfRule type="cellIs" dxfId="116" priority="92" operator="equal">
      <formula>"IKKE OK"</formula>
    </cfRule>
  </conditionalFormatting>
  <conditionalFormatting sqref="P267:P286">
    <cfRule type="cellIs" dxfId="115" priority="88" operator="equal">
      <formula>"IKKE OK"</formula>
    </cfRule>
    <cfRule type="cellIs" dxfId="114" priority="89" operator="equal">
      <formula>"OK"</formula>
    </cfRule>
  </conditionalFormatting>
  <conditionalFormatting sqref="Q122:Q132 Q136:Q145 I308:I309">
    <cfRule type="cellIs" dxfId="113" priority="113" operator="equal">
      <formula>"IKKE OK"</formula>
    </cfRule>
    <cfRule type="cellIs" dxfId="112" priority="114" operator="equal">
      <formula>"OK"</formula>
    </cfRule>
  </conditionalFormatting>
  <conditionalFormatting sqref="R205:S207">
    <cfRule type="cellIs" dxfId="111" priority="31" operator="equal">
      <formula>"IKKE OK"</formula>
    </cfRule>
    <cfRule type="cellIs" dxfId="110" priority="32" operator="equal">
      <formula>"OK"</formula>
    </cfRule>
  </conditionalFormatting>
  <conditionalFormatting sqref="Y59:Y61">
    <cfRule type="expression" dxfId="109" priority="26">
      <formula>"$A$109=""KAP meter"""</formula>
    </cfRule>
  </conditionalFormatting>
  <conditionalFormatting sqref="AB59:AB61">
    <cfRule type="cellIs" dxfId="108" priority="73" operator="equal">
      <formula>"IKKE OK"</formula>
    </cfRule>
    <cfRule type="cellIs" dxfId="107" priority="74" operator="equal">
      <formula>"OK"</formula>
    </cfRule>
  </conditionalFormatting>
  <conditionalFormatting sqref="AE244:AE263">
    <cfRule type="cellIs" dxfId="106" priority="8" operator="equal">
      <formula>"IKKE OK"</formula>
    </cfRule>
    <cfRule type="cellIs" dxfId="105" priority="9" operator="equal">
      <formula>"OK"</formula>
    </cfRule>
  </conditionalFormatting>
  <conditionalFormatting sqref="AE267:AE286">
    <cfRule type="cellIs" dxfId="104" priority="7" operator="equal">
      <formula>"OK"</formula>
    </cfRule>
    <cfRule type="cellIs" dxfId="103" priority="6" operator="equal">
      <formula>"IKKE OK"</formula>
    </cfRule>
  </conditionalFormatting>
  <conditionalFormatting sqref="AG244:AG263">
    <cfRule type="cellIs" dxfId="102" priority="54" operator="equal">
      <formula>"IKKE OK"</formula>
    </cfRule>
    <cfRule type="cellIs" dxfId="101" priority="55" operator="equal">
      <formula>"OK"</formula>
    </cfRule>
  </conditionalFormatting>
  <conditionalFormatting sqref="AG267:AG286">
    <cfRule type="cellIs" dxfId="100" priority="52" operator="equal">
      <formula>"IKKE OK"</formula>
    </cfRule>
    <cfRule type="cellIs" dxfId="99" priority="53" operator="equal">
      <formula>"OK"</formula>
    </cfRule>
  </conditionalFormatting>
  <conditionalFormatting sqref="AI122:AI131">
    <cfRule type="cellIs" dxfId="98" priority="21" operator="equal">
      <formula>"OK"</formula>
    </cfRule>
  </conditionalFormatting>
  <conditionalFormatting sqref="AI122:AI132">
    <cfRule type="cellIs" dxfId="97" priority="20" operator="equal">
      <formula>"IKKE OK"</formula>
    </cfRule>
  </conditionalFormatting>
  <conditionalFormatting sqref="AI136:AI145">
    <cfRule type="cellIs" dxfId="96" priority="19" operator="equal">
      <formula>"OK"</formula>
    </cfRule>
    <cfRule type="cellIs" dxfId="95" priority="18" operator="equal">
      <formula>"IKKE OK"</formula>
    </cfRule>
  </conditionalFormatting>
  <conditionalFormatting sqref="AI196:AI198">
    <cfRule type="cellIs" dxfId="94" priority="17" operator="equal">
      <formula>"OK"</formula>
    </cfRule>
    <cfRule type="cellIs" dxfId="93" priority="16" operator="equal">
      <formula>"IKKE OK"</formula>
    </cfRule>
  </conditionalFormatting>
  <conditionalFormatting sqref="AJ59:AJ61">
    <cfRule type="cellIs" dxfId="92" priority="71" operator="equal">
      <formula>"IKKE OK"</formula>
    </cfRule>
    <cfRule type="cellIs" dxfId="91" priority="72" operator="equal">
      <formula>"OK"</formula>
    </cfRule>
  </conditionalFormatting>
  <conditionalFormatting sqref="AK205:AK207">
    <cfRule type="cellIs" dxfId="90" priority="15" operator="equal">
      <formula>"OK"</formula>
    </cfRule>
    <cfRule type="cellIs" dxfId="89" priority="14" operator="equal">
      <formula>"IKKE OK"</formula>
    </cfRule>
  </conditionalFormatting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80" id="{681D07DD-6C42-4E4A-88E5-E0D2990499ED}">
            <xm:f>OR(Oplysningsside!$B$15="C bue",Oplysningsside!$B$15="Mini C bue",Oplysningsside!$B$15="Intervention",Oplysningsside!$B$15="R/F system")</xm:f>
            <x14:dxf>
              <font>
                <color theme="0"/>
              </font>
              <fill>
                <patternFill patternType="solid">
                  <bgColor theme="0" tint="-4.9989318521683403E-2"/>
                </patternFill>
              </fill>
              <border>
                <left style="thin">
                  <color auto="1"/>
                </left>
                <right style="thin">
                  <color auto="1"/>
                </right>
                <top/>
                <bottom style="thin">
                  <color auto="1"/>
                </bottom>
                <vertical/>
                <horizontal/>
              </border>
            </x14:dxf>
          </x14:cfRule>
          <xm:sqref>A54</xm:sqref>
        </x14:conditionalFormatting>
        <x14:conditionalFormatting xmlns:xm="http://schemas.microsoft.com/office/excel/2006/main">
          <x14:cfRule type="expression" priority="64" id="{D55E94CD-0ED5-4B4B-93ED-03F234404025}">
            <xm:f>OR(Oplysningsside!$B$15="C bue",Oplysningsside!$B$15="Mini C bue",Oplysningsside!$B$15="Intervention",Oplysningsside!$B$15="R/F system")</xm:f>
            <x14:dxf>
              <font>
                <color theme="0"/>
              </font>
              <fill>
                <patternFill>
                  <bgColor theme="0" tint="-4.9989318521683403E-2"/>
                </patternFill>
              </fill>
              <border>
                <left style="thin">
                  <color auto="1"/>
                </left>
                <right/>
                <top/>
                <bottom style="thin">
                  <color auto="1"/>
                </bottom>
                <vertical/>
                <horizontal/>
              </border>
            </x14:dxf>
          </x14:cfRule>
          <xm:sqref>B117</xm:sqref>
        </x14:conditionalFormatting>
        <x14:conditionalFormatting xmlns:xm="http://schemas.microsoft.com/office/excel/2006/main">
          <x14:cfRule type="expression" priority="59" id="{5EF91740-D9E8-4493-880C-B6E65926D36B}">
            <xm:f>OR(Oplysningsside!$B$15="C bue",Oplysningsside!$B$15="Mini C bue",Oplysningsside!$B$15="Intervention",Oplysningsside!$B$15="R/F system")</xm:f>
            <x14:dxf>
              <font>
                <color theme="0"/>
              </font>
              <fill>
                <patternFill>
                  <bgColor theme="0" tint="-4.9989318521683403E-2"/>
                </patternFill>
              </fill>
              <border>
                <left style="thin">
                  <color auto="1"/>
                </left>
                <right/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m:sqref>B190</xm:sqref>
        </x14:conditionalFormatting>
        <x14:conditionalFormatting xmlns:xm="http://schemas.microsoft.com/office/excel/2006/main">
          <x14:cfRule type="expression" priority="48" id="{C9B3A3F4-CD31-45FF-992F-956981C6FED1}">
            <xm:f>OR(Oplysningsside!$B$15="C bue",Oplysningsside!$B$15="Mini C bue",Oplysningsside!$B$15="Intervention",Oplysningsside!$B$15="R/F system")</xm:f>
            <x14:dxf>
              <font>
                <color theme="0"/>
              </font>
              <fill>
                <patternFill>
                  <bgColor theme="0" tint="-4.9989318521683403E-2"/>
                </patternFill>
              </fill>
              <border>
                <left style="thin">
                  <color auto="1"/>
                </left>
                <right/>
                <top/>
                <bottom style="thin">
                  <color auto="1"/>
                </bottom>
                <vertical/>
                <horizontal/>
              </border>
            </x14:dxf>
          </x14:cfRule>
          <xm:sqref>B240</xm:sqref>
        </x14:conditionalFormatting>
        <x14:conditionalFormatting xmlns:xm="http://schemas.microsoft.com/office/excel/2006/main">
          <x14:cfRule type="expression" priority="27" id="{03425F5A-DE33-43BC-A6FF-44D8A1CEF07F}">
            <xm:f>OR(Oplysningsside!$B$15="C bue",Oplysningsside!$B$15="Mini C bue",Oplysningsside!$B$15="Intervention",Oplysningsside!$B$15="R/F system")</xm:f>
            <x14:dxf>
              <font>
                <color theme="0"/>
              </font>
              <fill>
                <patternFill patternType="solid">
                  <bgColor theme="0" tint="-4.9989318521683403E-2"/>
                </patternFill>
              </fill>
              <border>
                <left/>
                <right/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m:sqref>D54</xm:sqref>
        </x14:conditionalFormatting>
        <x14:conditionalFormatting xmlns:xm="http://schemas.microsoft.com/office/excel/2006/main">
          <x14:cfRule type="expression" priority="47" id="{A6CE192C-5E80-48CA-A751-09EC644807C9}">
            <xm:f>OR(Oplysningsside!$B$15="C bue",Oplysningsside!$B$15="Mini C bue",Oplysningsside!$B$15="Intervention",Oplysningsside!$B$15="R/F system")</xm:f>
            <x14:dxf>
              <font>
                <color theme="0"/>
              </font>
              <fill>
                <patternFill>
                  <bgColor theme="0" tint="-4.9989318521683403E-2"/>
                </patternFill>
              </fill>
              <border>
                <left/>
                <right/>
                <top/>
                <bottom/>
                <vertical/>
                <horizontal/>
              </border>
            </x14:dxf>
          </x14:cfRule>
          <xm:sqref>R232:AG286</xm:sqref>
        </x14:conditionalFormatting>
        <x14:conditionalFormatting xmlns:xm="http://schemas.microsoft.com/office/excel/2006/main">
          <x14:cfRule type="expression" priority="1" id="{9926D25E-B117-43A5-8118-D73ACC733216}">
            <xm:f>OR(Oplysningsside!$B$15="C bue",Oplysningsside!$B$15="Mini C bue",Oplysningsside!$B$15="Intervention",Oplysningsside!$B$15="R/F system")</xm:f>
            <x14:dxf>
              <font>
                <color theme="0"/>
              </font>
              <fill>
                <patternFill>
                  <bgColor theme="0" tint="-4.9989318521683403E-2"/>
                </patternFill>
              </fill>
              <border>
                <left/>
                <right/>
                <top/>
                <bottom/>
                <vertical/>
                <horizontal/>
              </border>
            </x14:dxf>
          </x14:cfRule>
          <xm:sqref>S54:AB61</xm:sqref>
        </x14:conditionalFormatting>
        <x14:conditionalFormatting xmlns:xm="http://schemas.microsoft.com/office/excel/2006/main">
          <x14:cfRule type="expression" priority="2" id="{AFAD4DA2-993C-4FDA-B058-2473982D4DF4}">
            <xm:f>OR(Oplysningsside!$B$15="C bue",Oplysningsside!$B$15="Mini C bue",Oplysningsside!$B$15="Intervention",Oplysningsside!$B$15="R/F system")</xm:f>
            <x14:dxf>
              <font>
                <color theme="0"/>
              </font>
              <fill>
                <patternFill>
                  <bgColor theme="0" tint="-4.9989318521683403E-2"/>
                </patternFill>
              </fill>
              <border>
                <left/>
                <right/>
                <top/>
                <bottom/>
              </border>
            </x14:dxf>
          </x14:cfRule>
          <xm:sqref>T190:AK207</xm:sqref>
        </x14:conditionalFormatting>
        <x14:conditionalFormatting xmlns:xm="http://schemas.microsoft.com/office/excel/2006/main">
          <x14:cfRule type="expression" priority="65" id="{C10BDF8A-D7D5-4A32-9585-59BC03B45982}">
            <xm:f>OR(Oplysningsside!$B$15="C bue",Oplysningsside!$B$15="Mini C bue",Oplysningsside!$B$15="Intervention",Oplysningsside!$B$15="R/F system")</xm:f>
            <x14:dxf>
              <font>
                <color theme="0"/>
              </font>
              <fill>
                <patternFill>
                  <bgColor theme="0" tint="-4.9989318521683403E-2"/>
                </patternFill>
              </fill>
              <border>
                <left/>
                <right/>
                <top/>
                <bottom/>
                <vertical/>
                <horizontal/>
              </border>
            </x14:dxf>
          </x14:cfRule>
          <xm:sqref>W122:AI131 S132:AI135 W136:AI145 S117:AI121 S122:T131 S136:T145</xm:sqref>
        </x14:conditionalFormatting>
        <x14:conditionalFormatting xmlns:xm="http://schemas.microsoft.com/office/excel/2006/main">
          <x14:cfRule type="expression" priority="46" id="{D5532A35-062B-4EC2-A408-C9B85B365682}">
            <xm:f>OR(Oplysningsside!$B$15="C bue",Oplysningsside!$B$15="Mini C Bue",Oplysningsside!$B$15="Intervention",Oplysningsside!$B$15="R/F system")</xm:f>
            <x14:dxf>
              <font>
                <color theme="0"/>
              </font>
              <fill>
                <patternFill>
                  <bgColor theme="0" tint="-4.9989318521683403E-2"/>
                </patternFill>
              </fill>
              <border>
                <left/>
                <right/>
                <top/>
                <bottom/>
                <vertical/>
                <horizontal/>
              </border>
            </x14:dxf>
          </x14:cfRule>
          <xm:sqref>AF232:AG240</xm:sqref>
        </x14:conditionalFormatting>
        <x14:conditionalFormatting xmlns:xm="http://schemas.microsoft.com/office/excel/2006/main">
          <x14:cfRule type="expression" priority="49" id="{4DB64027-5A6E-4C8A-8D3C-44D5C7DF81A4}">
            <xm:f>OR(Oplysningsside!$B$15="C bue",Oplysningsside!$B$15="Mini C bue",Oplysningsside!$B$15="Intervention",Oplysningsside!$B$15="R/F system")</xm:f>
            <x14:dxf>
              <font>
                <color theme="0"/>
              </font>
              <fill>
                <patternFill>
                  <bgColor theme="0" tint="-4.9989318521683403E-2"/>
                </patternFill>
              </fill>
              <border>
                <left/>
                <right/>
                <top/>
                <bottom/>
                <vertical/>
                <horizontal/>
              </border>
            </x14:dxf>
          </x14:cfRule>
          <xm:sqref>AG244:AG245 R244:R246 AF246:AG263 R247:S263 V247:AB263 AG267:AG270 R267:S286 V268:AB286 AF271:AG286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InputMessage="1" showErrorMessage="1" xr:uid="{FA796F5C-5897-42B0-B583-DBA856A4B188}">
          <x14:formula1>
            <xm:f>Data!$A$5:$A$8</xm:f>
          </x14:formula1>
          <xm:sqref>A182 Y205:Y207 Y196:Y198 F196:F198 G132 A110 K59:K61 A45 A234:A235 F205:F207 F122:F132 X122:X132 Y132</xm:sqref>
        </x14:dataValidation>
        <x14:dataValidation type="list" allowBlank="1" showDropDown="1" showInputMessage="1" showErrorMessage="1" xr:uid="{A9FEFE02-A932-4F43-A5A9-2DF0A548B74A}">
          <x14:formula1>
            <xm:f>Data!$F$5:$F$10</xm:f>
          </x14:formula1>
          <xm:sqref>A109 A232 A179</xm:sqref>
        </x14:dataValidation>
        <x14:dataValidation type="list" allowBlank="1" showInputMessage="1" showErrorMessage="1" xr:uid="{A88A8EDF-7779-41B4-822E-6C8267D79667}">
          <x14:formula1>
            <xm:f>Data!$L$5:$L$7</xm:f>
          </x14:formula1>
          <xm:sqref>A114 A48 A236 A185:A186</xm:sqref>
        </x14:dataValidation>
        <x14:dataValidation type="list" allowBlank="1" showInputMessage="1" showErrorMessage="1" xr:uid="{79EABF28-6795-4108-9B6C-20C2C79FEB50}">
          <x14:formula1>
            <xm:f>Data!$A$10:$A$14</xm:f>
          </x14:formula1>
          <xm:sqref>P267:P286 AG244:AG263 P244:P263 AG267:AG286</xm:sqref>
        </x14:dataValidation>
        <x14:dataValidation type="list" allowBlank="1" showInputMessage="1" showErrorMessage="1" xr:uid="{2C264EF4-037D-4166-97AA-D0B207AA5C78}">
          <x14:formula1>
            <xm:f>Data!$O$5:$O$7</xm:f>
          </x14:formula1>
          <xm:sqref>F44</xm:sqref>
        </x14:dataValidation>
        <x14:dataValidation type="list" allowBlank="1" showInputMessage="1" showErrorMessage="1" xr:uid="{6669A7AB-C65D-42B7-B1D8-7D0F17D1FB4D}">
          <x14:formula1>
            <xm:f>Data!$C$9:$C$12</xm:f>
          </x14:formula1>
          <xm:sqref>A46</xm:sqref>
        </x14:dataValidation>
        <x14:dataValidation type="list" allowBlank="1" showInputMessage="1" showErrorMessage="1" xr:uid="{132A79E2-2A47-4FE1-B6FE-70876EC995F2}">
          <x14:formula1>
            <xm:f>Data!$C$14:$C$16</xm:f>
          </x14:formula1>
          <xm:sqref>A112 A237 A183</xm:sqref>
        </x14:dataValidation>
        <x14:dataValidation type="list" allowBlank="1" showInputMessage="1" showErrorMessage="1" xr:uid="{B640531D-5701-4201-8064-0CB5574CAF7C}">
          <x14:formula1>
            <xm:f>Data!$O$10:$O$15</xm:f>
          </x14:formula1>
          <xm:sqref>F136:F145 X136:X145</xm:sqref>
        </x14:dataValidation>
        <x14:dataValidation type="list" allowBlank="1" showInputMessage="1" showErrorMessage="1" xr:uid="{243E72E2-4242-476F-868B-281DD12AA3BF}">
          <x14:formula1>
            <xm:f>Data!$A$18:$A$24</xm:f>
          </x14:formula1>
          <xm:sqref>I308:I309</xm:sqref>
        </x14:dataValidation>
        <x14:dataValidation type="list" allowBlank="1" showInputMessage="1" showErrorMessage="1" xr:uid="{B7240603-59A0-4C77-A986-B60FEDCC95AA}">
          <x14:formula1>
            <xm:f>Data!$C$18:$C$24</xm:f>
          </x14:formula1>
          <xm:sqref>F47 F52</xm:sqref>
        </x14:dataValidation>
        <x14:dataValidation type="list" allowBlank="1" showInputMessage="1" showErrorMessage="1" xr:uid="{25B5F58B-35DD-4A51-A80F-B56665A934DB}">
          <x14:formula1>
            <xm:f>Data!$E$18:$E$23</xm:f>
          </x14:formula1>
          <xm:sqref>F51 K187 K184 F48</xm:sqref>
        </x14:dataValidation>
        <x14:dataValidation type="list" allowBlank="1" showInputMessage="1" showErrorMessage="1" xr:uid="{20712CA8-D0D2-49CA-B7C5-8310D261FC39}">
          <x14:formula1>
            <xm:f>Data!$G$18:$G$23</xm:f>
          </x14:formula1>
          <xm:sqref>K185 K188 K114 I235 E189 F49</xm:sqref>
        </x14:dataValidation>
        <x14:dataValidation type="list" allowBlank="1" showInputMessage="1" showErrorMessage="1" xr:uid="{505815AF-E029-4262-9940-A1FBFA7A95FA}">
          <x14:formula1>
            <xm:f>Data!$I$10:$I$12</xm:f>
          </x14:formula1>
          <xm:sqref>A113 A233 A184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9428AE-11DE-4CF2-9BC5-6606F8192D18}">
  <sheetPr>
    <tabColor rgb="FF92D050"/>
  </sheetPr>
  <dimension ref="A1:AA273"/>
  <sheetViews>
    <sheetView zoomScaleNormal="100" workbookViewId="0">
      <selection activeCell="N268" sqref="N268"/>
    </sheetView>
  </sheetViews>
  <sheetFormatPr defaultColWidth="9.109375" defaultRowHeight="14.4" x14ac:dyDescent="0.3"/>
  <cols>
    <col min="1" max="17" width="14.44140625" style="184" customWidth="1"/>
    <col min="18" max="18" width="9.109375" style="184"/>
    <col min="19" max="26" width="14.44140625" style="184" customWidth="1"/>
    <col min="27" max="27" width="14.33203125" style="184" customWidth="1"/>
    <col min="28" max="16384" width="9.109375" style="184"/>
  </cols>
  <sheetData>
    <row r="1" spans="1:18" x14ac:dyDescent="0.3">
      <c r="A1" s="27" t="s">
        <v>1</v>
      </c>
      <c r="B1" s="28"/>
      <c r="C1" s="444" t="str">
        <f>Oplysningsside!B2</f>
        <v>Region H</v>
      </c>
      <c r="D1" s="444"/>
      <c r="E1" s="444"/>
      <c r="F1" s="28"/>
      <c r="G1" s="30" t="s">
        <v>3</v>
      </c>
      <c r="H1" s="28"/>
      <c r="I1" s="444" t="str">
        <f>Oplysningsside!E2</f>
        <v>Modtagekontrol</v>
      </c>
      <c r="J1" s="444"/>
      <c r="K1" s="444"/>
      <c r="L1" s="28"/>
      <c r="M1" s="30" t="s">
        <v>461</v>
      </c>
      <c r="N1" s="28"/>
      <c r="O1" s="399" t="str">
        <f>Oplysningsside!G2</f>
        <v>GE2</v>
      </c>
      <c r="P1" s="399"/>
      <c r="Q1" s="31"/>
    </row>
    <row r="2" spans="1:18" x14ac:dyDescent="0.3">
      <c r="A2" s="32" t="s">
        <v>74</v>
      </c>
      <c r="B2" s="33"/>
      <c r="C2" s="445" t="str">
        <f>Oplysningsside!B3</f>
        <v>HGH Herlev</v>
      </c>
      <c r="D2" s="445"/>
      <c r="E2" s="445"/>
      <c r="F2" s="33"/>
      <c r="G2" s="229" t="s">
        <v>132</v>
      </c>
      <c r="H2" s="229"/>
      <c r="I2" s="445" t="str">
        <f>Oplysningsside!E3</f>
        <v>C bue</v>
      </c>
      <c r="J2" s="445"/>
      <c r="K2" s="445"/>
      <c r="L2" s="33"/>
      <c r="M2" s="35" t="s">
        <v>6</v>
      </c>
      <c r="N2" s="33"/>
      <c r="O2" s="449">
        <f>Oplysningsside!G3</f>
        <v>45475</v>
      </c>
      <c r="P2" s="449"/>
      <c r="Q2" s="36"/>
    </row>
    <row r="3" spans="1:18" x14ac:dyDescent="0.3">
      <c r="A3" s="37" t="s">
        <v>73</v>
      </c>
      <c r="B3" s="33"/>
      <c r="C3" s="445" t="str">
        <f>Oplysningsside!B4</f>
        <v>Røntgen</v>
      </c>
      <c r="D3" s="445"/>
      <c r="E3" s="445"/>
      <c r="F3" s="33"/>
      <c r="G3" s="35" t="s">
        <v>5</v>
      </c>
      <c r="H3" s="33"/>
      <c r="I3" s="445" t="str">
        <f>Oplysningsside!E4</f>
        <v>Fluorostar</v>
      </c>
      <c r="J3" s="445"/>
      <c r="K3" s="445"/>
      <c r="L3" s="33"/>
      <c r="M3" s="35" t="s">
        <v>8</v>
      </c>
      <c r="N3" s="33"/>
      <c r="O3" s="400" t="str">
        <f>Oplysningsside!G4</f>
        <v>EHA</v>
      </c>
      <c r="P3" s="400"/>
      <c r="Q3" s="36"/>
    </row>
    <row r="4" spans="1:18" x14ac:dyDescent="0.3">
      <c r="A4" s="32" t="s">
        <v>9</v>
      </c>
      <c r="B4" s="33"/>
      <c r="C4" s="446" t="str">
        <f>Oplysningsside!B5</f>
        <v>10</v>
      </c>
      <c r="D4" s="446"/>
      <c r="E4" s="446"/>
      <c r="F4" s="33"/>
      <c r="G4" s="35" t="s">
        <v>7</v>
      </c>
      <c r="H4" s="33"/>
      <c r="I4" s="454" t="str">
        <f>Oplysningsside!E5</f>
        <v>1</v>
      </c>
      <c r="J4" s="454"/>
      <c r="K4" s="454"/>
      <c r="L4" s="33"/>
      <c r="M4" s="33" t="s">
        <v>11</v>
      </c>
      <c r="N4" s="33"/>
      <c r="O4" s="449">
        <f>Oplysningsside!G5</f>
        <v>45476</v>
      </c>
      <c r="P4" s="449"/>
      <c r="Q4" s="36"/>
    </row>
    <row r="5" spans="1:18" x14ac:dyDescent="0.3">
      <c r="A5" s="8" t="s">
        <v>585</v>
      </c>
      <c r="B5" s="38"/>
      <c r="C5" s="447">
        <f>Oplysningsside!$B$6</f>
        <v>3</v>
      </c>
      <c r="D5" s="447"/>
      <c r="E5" s="447"/>
      <c r="F5" s="38"/>
      <c r="G5" s="9" t="s">
        <v>460</v>
      </c>
      <c r="H5" s="38"/>
      <c r="I5" s="455">
        <f>Oplysningsside!E6</f>
        <v>2</v>
      </c>
      <c r="J5" s="455"/>
      <c r="K5" s="455"/>
      <c r="L5" s="38"/>
      <c r="M5" s="38"/>
      <c r="N5" s="38"/>
      <c r="O5" s="447"/>
      <c r="P5" s="447"/>
      <c r="Q5" s="39"/>
    </row>
    <row r="7" spans="1:18" ht="25.8" x14ac:dyDescent="0.5">
      <c r="A7" s="40" t="s">
        <v>212</v>
      </c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3" t="s">
        <v>2</v>
      </c>
      <c r="P7" s="41"/>
      <c r="Q7" s="41"/>
    </row>
    <row r="10" spans="1:18" ht="18" x14ac:dyDescent="0.35">
      <c r="A10" s="46" t="s">
        <v>388</v>
      </c>
      <c r="B10" s="48"/>
      <c r="C10" s="48"/>
      <c r="D10" s="48"/>
      <c r="E10" s="46"/>
      <c r="F10" s="46" t="s">
        <v>600</v>
      </c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54"/>
    </row>
    <row r="12" spans="1:18" x14ac:dyDescent="0.3">
      <c r="A12" s="49" t="s">
        <v>278</v>
      </c>
      <c r="B12" s="50"/>
      <c r="C12" s="50"/>
      <c r="D12" s="50"/>
      <c r="E12" s="50"/>
      <c r="F12" s="50"/>
      <c r="G12" s="50"/>
      <c r="H12" s="50"/>
      <c r="I12" s="50"/>
      <c r="J12" s="50"/>
      <c r="K12" s="50"/>
      <c r="L12" s="124" t="s">
        <v>96</v>
      </c>
      <c r="M12" s="57"/>
      <c r="N12" s="57"/>
      <c r="O12" s="57"/>
      <c r="P12" s="57"/>
      <c r="Q12" s="57"/>
    </row>
    <row r="13" spans="1:18" x14ac:dyDescent="0.3">
      <c r="A13" s="51" t="s">
        <v>44</v>
      </c>
      <c r="B13" s="52" t="s">
        <v>134</v>
      </c>
      <c r="C13" s="52"/>
      <c r="D13" s="52"/>
      <c r="E13" s="52"/>
      <c r="F13" s="52"/>
      <c r="G13" s="52"/>
      <c r="H13" s="52"/>
      <c r="I13" s="52"/>
      <c r="J13" s="52"/>
      <c r="K13" s="52"/>
      <c r="L13" s="432"/>
      <c r="M13" s="433"/>
      <c r="N13" s="433"/>
      <c r="O13" s="433"/>
      <c r="P13" s="433"/>
      <c r="Q13" s="434"/>
      <c r="R13" s="54"/>
    </row>
    <row r="14" spans="1:18" x14ac:dyDescent="0.3">
      <c r="A14" s="53" t="s">
        <v>45</v>
      </c>
      <c r="B14" s="54" t="s">
        <v>532</v>
      </c>
      <c r="C14" s="54"/>
      <c r="D14" s="54"/>
      <c r="E14" s="54"/>
      <c r="F14" s="54"/>
      <c r="G14" s="54"/>
      <c r="H14" s="54"/>
      <c r="I14" s="54"/>
      <c r="J14" s="54"/>
      <c r="K14" s="54"/>
      <c r="L14" s="435"/>
      <c r="M14" s="436"/>
      <c r="N14" s="436"/>
      <c r="O14" s="436"/>
      <c r="P14" s="436"/>
      <c r="Q14" s="437"/>
      <c r="R14" s="54"/>
    </row>
    <row r="15" spans="1:18" x14ac:dyDescent="0.3">
      <c r="A15" s="53"/>
      <c r="B15" s="54" t="s">
        <v>533</v>
      </c>
      <c r="C15" s="54"/>
      <c r="D15" s="54"/>
      <c r="E15" s="54"/>
      <c r="F15" s="54"/>
      <c r="G15" s="54"/>
      <c r="H15" s="54"/>
      <c r="I15" s="54"/>
      <c r="J15" s="54"/>
      <c r="K15" s="54"/>
      <c r="L15" s="435"/>
      <c r="M15" s="436"/>
      <c r="N15" s="436"/>
      <c r="O15" s="436"/>
      <c r="P15" s="436"/>
      <c r="Q15" s="437"/>
      <c r="R15" s="54"/>
    </row>
    <row r="16" spans="1:18" x14ac:dyDescent="0.3">
      <c r="A16" s="53"/>
      <c r="B16" s="54" t="s">
        <v>534</v>
      </c>
      <c r="C16" s="54"/>
      <c r="D16" s="54"/>
      <c r="E16" s="54"/>
      <c r="F16" s="54"/>
      <c r="G16" s="54"/>
      <c r="H16" s="54"/>
      <c r="I16" s="54"/>
      <c r="J16" s="54"/>
      <c r="K16" s="54"/>
      <c r="L16" s="435"/>
      <c r="M16" s="436"/>
      <c r="N16" s="436"/>
      <c r="O16" s="436"/>
      <c r="P16" s="436"/>
      <c r="Q16" s="437"/>
      <c r="R16" s="54"/>
    </row>
    <row r="17" spans="1:18" x14ac:dyDescent="0.3">
      <c r="A17" s="53"/>
      <c r="B17" s="54" t="s">
        <v>535</v>
      </c>
      <c r="C17" s="54"/>
      <c r="D17" s="54"/>
      <c r="E17" s="54"/>
      <c r="F17" s="54"/>
      <c r="G17" s="54"/>
      <c r="H17" s="54"/>
      <c r="I17" s="54"/>
      <c r="J17" s="54"/>
      <c r="K17" s="54"/>
      <c r="L17" s="435"/>
      <c r="M17" s="436"/>
      <c r="N17" s="436"/>
      <c r="O17" s="436"/>
      <c r="P17" s="436"/>
      <c r="Q17" s="437"/>
      <c r="R17" s="54"/>
    </row>
    <row r="18" spans="1:18" x14ac:dyDescent="0.3">
      <c r="A18" s="53" t="s">
        <v>46</v>
      </c>
      <c r="B18" s="54" t="s">
        <v>536</v>
      </c>
      <c r="C18" s="54"/>
      <c r="D18" s="54"/>
      <c r="E18" s="54"/>
      <c r="F18" s="54"/>
      <c r="G18" s="54"/>
      <c r="H18" s="54"/>
      <c r="I18" s="54"/>
      <c r="J18" s="54"/>
      <c r="K18" s="54"/>
      <c r="L18" s="435"/>
      <c r="M18" s="436"/>
      <c r="N18" s="436"/>
      <c r="O18" s="436"/>
      <c r="P18" s="436"/>
      <c r="Q18" s="437"/>
      <c r="R18" s="54"/>
    </row>
    <row r="19" spans="1:18" x14ac:dyDescent="0.3">
      <c r="A19" s="53"/>
      <c r="B19" s="54" t="s">
        <v>618</v>
      </c>
      <c r="C19" s="54"/>
      <c r="D19" s="54"/>
      <c r="E19" s="54"/>
      <c r="F19" s="54"/>
      <c r="G19" s="54"/>
      <c r="H19" s="54"/>
      <c r="I19" s="54"/>
      <c r="J19" s="54"/>
      <c r="K19" s="54"/>
      <c r="L19" s="435"/>
      <c r="M19" s="436"/>
      <c r="N19" s="436"/>
      <c r="O19" s="436"/>
      <c r="P19" s="436"/>
      <c r="Q19" s="437"/>
      <c r="R19" s="54"/>
    </row>
    <row r="20" spans="1:18" x14ac:dyDescent="0.3">
      <c r="A20" s="53"/>
      <c r="B20" s="54" t="s">
        <v>538</v>
      </c>
      <c r="C20" s="54"/>
      <c r="D20" s="54"/>
      <c r="E20" s="54"/>
      <c r="F20" s="54"/>
      <c r="G20" s="54"/>
      <c r="H20" s="54"/>
      <c r="I20" s="54"/>
      <c r="J20" s="54"/>
      <c r="K20" s="54"/>
      <c r="L20" s="435"/>
      <c r="M20" s="436"/>
      <c r="N20" s="436"/>
      <c r="O20" s="436"/>
      <c r="P20" s="436"/>
      <c r="Q20" s="437"/>
      <c r="R20" s="54"/>
    </row>
    <row r="21" spans="1:18" x14ac:dyDescent="0.3">
      <c r="A21" s="53"/>
      <c r="B21" s="184" t="s">
        <v>537</v>
      </c>
      <c r="C21" s="54"/>
      <c r="D21" s="54"/>
      <c r="E21" s="54"/>
      <c r="F21" s="54"/>
      <c r="G21" s="54"/>
      <c r="H21" s="54"/>
      <c r="I21" s="54"/>
      <c r="J21" s="54"/>
      <c r="K21" s="54"/>
      <c r="L21" s="435"/>
      <c r="M21" s="436"/>
      <c r="N21" s="436"/>
      <c r="O21" s="436"/>
      <c r="P21" s="436"/>
      <c r="Q21" s="437"/>
      <c r="R21" s="54"/>
    </row>
    <row r="22" spans="1:18" x14ac:dyDescent="0.3">
      <c r="A22" s="53"/>
      <c r="B22" s="54" t="s">
        <v>343</v>
      </c>
      <c r="C22" s="54"/>
      <c r="D22" s="54"/>
      <c r="E22" s="54"/>
      <c r="F22" s="54"/>
      <c r="G22" s="54"/>
      <c r="H22" s="54"/>
      <c r="I22" s="54"/>
      <c r="J22" s="54"/>
      <c r="K22" s="54"/>
      <c r="L22" s="435"/>
      <c r="M22" s="436"/>
      <c r="N22" s="436"/>
      <c r="O22" s="436"/>
      <c r="P22" s="436"/>
      <c r="Q22" s="437"/>
      <c r="R22" s="54"/>
    </row>
    <row r="23" spans="1:18" x14ac:dyDescent="0.3">
      <c r="A23" s="53"/>
      <c r="B23" s="26" t="s">
        <v>619</v>
      </c>
      <c r="C23" s="54"/>
      <c r="D23" s="54"/>
      <c r="E23" s="54"/>
      <c r="F23" s="54"/>
      <c r="G23" s="54"/>
      <c r="H23" s="54"/>
      <c r="I23" s="54"/>
      <c r="J23" s="54"/>
      <c r="K23" s="54"/>
      <c r="L23" s="435"/>
      <c r="M23" s="436"/>
      <c r="N23" s="436"/>
      <c r="O23" s="436"/>
      <c r="P23" s="436"/>
      <c r="Q23" s="437"/>
      <c r="R23" s="54"/>
    </row>
    <row r="24" spans="1:18" x14ac:dyDescent="0.3">
      <c r="A24" s="53"/>
      <c r="B24" s="89" t="s">
        <v>539</v>
      </c>
      <c r="C24" s="54"/>
      <c r="D24" s="54"/>
      <c r="E24" s="54"/>
      <c r="F24" s="54"/>
      <c r="G24" s="54"/>
      <c r="H24" s="54"/>
      <c r="I24" s="54"/>
      <c r="J24" s="54"/>
      <c r="K24" s="54"/>
      <c r="L24" s="435"/>
      <c r="M24" s="436"/>
      <c r="N24" s="436"/>
      <c r="O24" s="436"/>
      <c r="P24" s="436"/>
      <c r="Q24" s="437"/>
      <c r="R24" s="54"/>
    </row>
    <row r="25" spans="1:18" x14ac:dyDescent="0.3">
      <c r="A25" s="53"/>
      <c r="B25" s="54" t="s">
        <v>617</v>
      </c>
      <c r="C25" s="54"/>
      <c r="D25" s="54"/>
      <c r="E25" s="54"/>
      <c r="F25" s="54"/>
      <c r="G25" s="54"/>
      <c r="H25" s="54"/>
      <c r="I25" s="54"/>
      <c r="J25" s="54"/>
      <c r="K25" s="54"/>
      <c r="L25" s="435"/>
      <c r="M25" s="436"/>
      <c r="N25" s="436"/>
      <c r="O25" s="436"/>
      <c r="P25" s="436"/>
      <c r="Q25" s="437"/>
      <c r="R25" s="54"/>
    </row>
    <row r="26" spans="1:18" x14ac:dyDescent="0.3">
      <c r="A26" s="53"/>
      <c r="B26" s="54" t="s">
        <v>624</v>
      </c>
      <c r="C26" s="54"/>
      <c r="D26" s="54"/>
      <c r="E26" s="54"/>
      <c r="F26" s="54"/>
      <c r="G26" s="54"/>
      <c r="H26" s="54"/>
      <c r="I26" s="54"/>
      <c r="J26" s="54"/>
      <c r="K26" s="54"/>
      <c r="L26" s="435"/>
      <c r="M26" s="436"/>
      <c r="N26" s="436"/>
      <c r="O26" s="436"/>
      <c r="P26" s="436"/>
      <c r="Q26" s="437"/>
      <c r="R26" s="54"/>
    </row>
    <row r="27" spans="1:18" x14ac:dyDescent="0.3">
      <c r="A27" s="53"/>
      <c r="B27" s="54" t="s">
        <v>344</v>
      </c>
      <c r="C27" s="54"/>
      <c r="D27" s="54"/>
      <c r="E27" s="54"/>
      <c r="F27" s="54"/>
      <c r="G27" s="54"/>
      <c r="H27" s="54"/>
      <c r="I27" s="54"/>
      <c r="J27" s="54"/>
      <c r="K27" s="54"/>
      <c r="L27" s="435"/>
      <c r="M27" s="436"/>
      <c r="N27" s="436"/>
      <c r="O27" s="436"/>
      <c r="P27" s="436"/>
      <c r="Q27" s="437"/>
      <c r="R27" s="54"/>
    </row>
    <row r="28" spans="1:18" x14ac:dyDescent="0.3">
      <c r="A28" s="53"/>
      <c r="B28" s="54" t="s">
        <v>620</v>
      </c>
      <c r="C28" s="54"/>
      <c r="D28" s="54"/>
      <c r="E28" s="54"/>
      <c r="F28" s="54"/>
      <c r="G28" s="54"/>
      <c r="H28" s="54"/>
      <c r="I28" s="54"/>
      <c r="J28" s="54"/>
      <c r="K28" s="54"/>
      <c r="L28" s="435"/>
      <c r="M28" s="436"/>
      <c r="N28" s="436"/>
      <c r="O28" s="436"/>
      <c r="P28" s="436"/>
      <c r="Q28" s="437"/>
      <c r="R28" s="54"/>
    </row>
    <row r="29" spans="1:18" x14ac:dyDescent="0.3">
      <c r="A29" s="53"/>
      <c r="B29" s="184" t="s">
        <v>621</v>
      </c>
      <c r="C29" s="54"/>
      <c r="D29" s="54"/>
      <c r="E29" s="54"/>
      <c r="F29" s="54"/>
      <c r="G29" s="54"/>
      <c r="H29" s="54"/>
      <c r="I29" s="54"/>
      <c r="J29" s="54"/>
      <c r="K29" s="54"/>
      <c r="L29" s="435"/>
      <c r="M29" s="436"/>
      <c r="N29" s="436"/>
      <c r="O29" s="436"/>
      <c r="P29" s="436"/>
      <c r="Q29" s="437"/>
      <c r="R29" s="54"/>
    </row>
    <row r="30" spans="1:18" x14ac:dyDescent="0.3">
      <c r="A30" s="53"/>
      <c r="B30" s="184" t="s">
        <v>622</v>
      </c>
      <c r="C30" s="54"/>
      <c r="D30" s="54"/>
      <c r="E30" s="54"/>
      <c r="F30" s="54"/>
      <c r="G30" s="54"/>
      <c r="H30" s="54"/>
      <c r="I30" s="54"/>
      <c r="J30" s="54"/>
      <c r="K30" s="54"/>
      <c r="L30" s="435"/>
      <c r="M30" s="436"/>
      <c r="N30" s="436"/>
      <c r="O30" s="436"/>
      <c r="P30" s="436"/>
      <c r="Q30" s="437"/>
      <c r="R30" s="54"/>
    </row>
    <row r="31" spans="1:18" x14ac:dyDescent="0.3">
      <c r="A31" s="53"/>
      <c r="B31" s="184" t="s">
        <v>623</v>
      </c>
      <c r="C31" s="54"/>
      <c r="D31" s="54"/>
      <c r="E31" s="54"/>
      <c r="F31" s="54"/>
      <c r="G31" s="54"/>
      <c r="H31" s="54"/>
      <c r="I31" s="54"/>
      <c r="J31" s="54"/>
      <c r="K31" s="54"/>
      <c r="L31" s="435"/>
      <c r="M31" s="436"/>
      <c r="N31" s="436"/>
      <c r="O31" s="436"/>
      <c r="P31" s="436"/>
      <c r="Q31" s="437"/>
      <c r="R31" s="54"/>
    </row>
    <row r="32" spans="1:18" x14ac:dyDescent="0.3">
      <c r="A32" s="53"/>
      <c r="B32" s="26" t="s">
        <v>357</v>
      </c>
      <c r="C32" s="54"/>
      <c r="D32" s="54"/>
      <c r="E32" s="54"/>
      <c r="F32" s="54"/>
      <c r="G32" s="54"/>
      <c r="H32" s="54"/>
      <c r="I32" s="54"/>
      <c r="J32" s="54"/>
      <c r="K32" s="54"/>
      <c r="L32" s="435"/>
      <c r="M32" s="436"/>
      <c r="N32" s="436"/>
      <c r="O32" s="436"/>
      <c r="P32" s="436"/>
      <c r="Q32" s="437"/>
      <c r="R32" s="54"/>
    </row>
    <row r="33" spans="1:18" x14ac:dyDescent="0.3">
      <c r="A33" s="53"/>
      <c r="B33" s="54" t="s">
        <v>625</v>
      </c>
      <c r="C33" s="54"/>
      <c r="D33" s="54"/>
      <c r="E33" s="54"/>
      <c r="F33" s="54"/>
      <c r="G33" s="54"/>
      <c r="H33" s="54"/>
      <c r="I33" s="54"/>
      <c r="J33" s="54"/>
      <c r="K33" s="54"/>
      <c r="L33" s="435"/>
      <c r="M33" s="436"/>
      <c r="N33" s="436"/>
      <c r="O33" s="436"/>
      <c r="P33" s="436"/>
      <c r="Q33" s="437"/>
      <c r="R33" s="54"/>
    </row>
    <row r="34" spans="1:18" x14ac:dyDescent="0.3">
      <c r="A34" s="53"/>
      <c r="B34" s="54" t="s">
        <v>345</v>
      </c>
      <c r="C34" s="54"/>
      <c r="D34" s="54"/>
      <c r="E34" s="54"/>
      <c r="F34" s="54"/>
      <c r="G34" s="54"/>
      <c r="H34" s="54"/>
      <c r="I34" s="54"/>
      <c r="J34" s="54"/>
      <c r="K34" s="54"/>
      <c r="L34" s="435"/>
      <c r="M34" s="436"/>
      <c r="N34" s="436"/>
      <c r="O34" s="436"/>
      <c r="P34" s="436"/>
      <c r="Q34" s="437"/>
      <c r="R34" s="54"/>
    </row>
    <row r="35" spans="1:18" x14ac:dyDescent="0.3">
      <c r="A35" s="53"/>
      <c r="B35" s="26" t="s">
        <v>108</v>
      </c>
      <c r="C35" s="54"/>
      <c r="D35" s="54"/>
      <c r="E35" s="54"/>
      <c r="F35" s="54"/>
      <c r="G35" s="54"/>
      <c r="H35" s="54"/>
      <c r="I35" s="54"/>
      <c r="J35" s="54"/>
      <c r="K35" s="54"/>
      <c r="L35" s="435"/>
      <c r="M35" s="436"/>
      <c r="N35" s="436"/>
      <c r="O35" s="436"/>
      <c r="P35" s="436"/>
      <c r="Q35" s="437"/>
      <c r="R35" s="54"/>
    </row>
    <row r="36" spans="1:18" x14ac:dyDescent="0.3">
      <c r="A36" s="53"/>
      <c r="B36" s="54" t="s">
        <v>540</v>
      </c>
      <c r="C36" s="54"/>
      <c r="D36" s="54"/>
      <c r="E36" s="54"/>
      <c r="F36" s="54"/>
      <c r="G36" s="54"/>
      <c r="H36" s="54"/>
      <c r="I36" s="54"/>
      <c r="J36" s="54"/>
      <c r="K36" s="54"/>
      <c r="L36" s="435"/>
      <c r="M36" s="436"/>
      <c r="N36" s="436"/>
      <c r="O36" s="436"/>
      <c r="P36" s="436"/>
      <c r="Q36" s="437"/>
      <c r="R36" s="54"/>
    </row>
    <row r="37" spans="1:18" x14ac:dyDescent="0.3">
      <c r="A37" s="53" t="s">
        <v>47</v>
      </c>
      <c r="B37" s="263" t="s">
        <v>626</v>
      </c>
      <c r="C37" s="54"/>
      <c r="D37" s="54"/>
      <c r="E37" s="54"/>
      <c r="F37" s="54"/>
      <c r="G37" s="54"/>
      <c r="H37" s="54"/>
      <c r="I37" s="54"/>
      <c r="J37" s="54"/>
      <c r="K37" s="54"/>
      <c r="L37" s="435"/>
      <c r="M37" s="436"/>
      <c r="N37" s="436"/>
      <c r="O37" s="436"/>
      <c r="P37" s="436"/>
      <c r="Q37" s="437"/>
      <c r="R37" s="54"/>
    </row>
    <row r="38" spans="1:18" x14ac:dyDescent="0.3">
      <c r="A38" s="53"/>
      <c r="B38" s="208" t="s">
        <v>541</v>
      </c>
      <c r="C38" s="54"/>
      <c r="D38" s="54"/>
      <c r="E38" s="54"/>
      <c r="F38" s="54"/>
      <c r="G38" s="54"/>
      <c r="H38" s="54"/>
      <c r="I38" s="54"/>
      <c r="J38" s="54"/>
      <c r="K38" s="54"/>
      <c r="L38" s="435"/>
      <c r="M38" s="436"/>
      <c r="N38" s="436"/>
      <c r="O38" s="436"/>
      <c r="P38" s="436"/>
      <c r="Q38" s="437"/>
      <c r="R38" s="54"/>
    </row>
    <row r="39" spans="1:18" x14ac:dyDescent="0.3">
      <c r="A39" s="53"/>
      <c r="B39" s="325" t="s">
        <v>627</v>
      </c>
      <c r="C39" s="54"/>
      <c r="D39" s="54"/>
      <c r="E39" s="54"/>
      <c r="F39" s="54"/>
      <c r="G39" s="54"/>
      <c r="H39" s="54"/>
      <c r="I39" s="54"/>
      <c r="J39" s="54"/>
      <c r="K39" s="54"/>
      <c r="L39" s="435"/>
      <c r="M39" s="436"/>
      <c r="N39" s="436"/>
      <c r="O39" s="436"/>
      <c r="P39" s="436"/>
      <c r="Q39" s="437"/>
      <c r="R39" s="54"/>
    </row>
    <row r="40" spans="1:18" x14ac:dyDescent="0.3">
      <c r="A40" s="53"/>
      <c r="B40" s="70" t="s">
        <v>628</v>
      </c>
      <c r="C40" s="54"/>
      <c r="D40" s="54"/>
      <c r="E40" s="54"/>
      <c r="F40" s="54"/>
      <c r="G40" s="54"/>
      <c r="H40" s="54"/>
      <c r="I40" s="54"/>
      <c r="J40" s="54"/>
      <c r="K40" s="54"/>
      <c r="L40" s="435"/>
      <c r="M40" s="436"/>
      <c r="N40" s="436"/>
      <c r="O40" s="436"/>
      <c r="P40" s="436"/>
      <c r="Q40" s="437"/>
      <c r="R40" s="54"/>
    </row>
    <row r="41" spans="1:18" x14ac:dyDescent="0.3">
      <c r="A41" s="53"/>
      <c r="B41" s="20" t="s">
        <v>629</v>
      </c>
      <c r="C41" s="54"/>
      <c r="D41" s="54"/>
      <c r="E41" s="54"/>
      <c r="F41" s="54"/>
      <c r="G41" s="54"/>
      <c r="H41" s="54"/>
      <c r="I41" s="54"/>
      <c r="J41" s="54"/>
      <c r="K41" s="54"/>
      <c r="L41" s="435"/>
      <c r="M41" s="436"/>
      <c r="N41" s="436"/>
      <c r="O41" s="436"/>
      <c r="P41" s="436"/>
      <c r="Q41" s="437"/>
      <c r="R41" s="54"/>
    </row>
    <row r="42" spans="1:18" x14ac:dyDescent="0.3">
      <c r="A42" s="78"/>
      <c r="B42" s="77"/>
      <c r="C42" s="77"/>
      <c r="D42" s="77"/>
      <c r="E42" s="77"/>
      <c r="F42" s="77"/>
      <c r="G42" s="77"/>
      <c r="H42" s="77"/>
      <c r="I42" s="77"/>
      <c r="J42" s="77"/>
      <c r="K42" s="77"/>
      <c r="L42" s="429"/>
      <c r="M42" s="430"/>
      <c r="N42" s="430"/>
      <c r="O42" s="430"/>
      <c r="P42" s="430"/>
      <c r="Q42" s="431"/>
    </row>
    <row r="44" spans="1:18" x14ac:dyDescent="0.3">
      <c r="A44" s="56" t="s">
        <v>279</v>
      </c>
      <c r="B44" s="57"/>
      <c r="C44" s="57"/>
      <c r="D44" s="57"/>
      <c r="E44" s="57"/>
      <c r="F44" s="57"/>
      <c r="G44" s="57"/>
      <c r="H44" s="57"/>
      <c r="I44" s="57"/>
      <c r="J44" s="57"/>
      <c r="K44" s="57"/>
      <c r="L44" s="57"/>
      <c r="M44" s="57"/>
      <c r="N44" s="57"/>
      <c r="O44" s="57"/>
      <c r="P44" s="57"/>
      <c r="Q44" s="57"/>
    </row>
    <row r="46" spans="1:18" x14ac:dyDescent="0.3">
      <c r="A46" s="113"/>
      <c r="B46" s="260" t="s">
        <v>358</v>
      </c>
      <c r="C46" s="234"/>
      <c r="D46" s="237"/>
      <c r="E46" s="218"/>
      <c r="F46" s="52" t="s">
        <v>442</v>
      </c>
      <c r="G46" s="307"/>
      <c r="H46" s="234"/>
      <c r="I46" s="237"/>
      <c r="J46" s="217"/>
      <c r="K46" s="52" t="s">
        <v>444</v>
      </c>
      <c r="L46" s="52"/>
      <c r="M46" s="52"/>
      <c r="N46" s="52"/>
      <c r="O46" s="52"/>
      <c r="P46" s="308" t="s">
        <v>407</v>
      </c>
      <c r="Q46" s="113"/>
    </row>
    <row r="47" spans="1:18" x14ac:dyDescent="0.3">
      <c r="A47" s="114">
        <v>100</v>
      </c>
      <c r="B47" s="258" t="s">
        <v>365</v>
      </c>
      <c r="C47" s="233"/>
      <c r="D47" s="246"/>
      <c r="E47" s="215"/>
      <c r="F47" s="54" t="s">
        <v>443</v>
      </c>
      <c r="G47" s="286"/>
      <c r="H47" s="233"/>
      <c r="I47" s="246"/>
      <c r="J47" s="214"/>
      <c r="K47" s="54"/>
      <c r="L47" s="54"/>
      <c r="M47" s="54"/>
      <c r="N47" s="54"/>
      <c r="O47" s="54"/>
      <c r="P47" s="309" t="s">
        <v>408</v>
      </c>
      <c r="Q47" s="114"/>
    </row>
    <row r="48" spans="1:18" x14ac:dyDescent="0.3">
      <c r="A48" s="213"/>
      <c r="B48" s="264"/>
      <c r="C48" s="182"/>
      <c r="D48" s="252"/>
      <c r="G48" s="239"/>
      <c r="H48" s="233"/>
      <c r="I48" s="246"/>
      <c r="J48" s="86"/>
      <c r="K48" s="77"/>
      <c r="L48" s="77"/>
      <c r="M48" s="77"/>
      <c r="N48" s="77"/>
      <c r="O48" s="77"/>
      <c r="P48" s="252"/>
      <c r="Q48" s="213"/>
    </row>
    <row r="49" spans="1:18" x14ac:dyDescent="0.3">
      <c r="A49" s="310"/>
      <c r="B49" s="311"/>
      <c r="C49" s="312"/>
      <c r="D49" s="312"/>
      <c r="E49" s="490" t="s">
        <v>364</v>
      </c>
      <c r="F49" s="491"/>
      <c r="G49" s="491"/>
      <c r="H49" s="491"/>
      <c r="I49" s="492"/>
      <c r="J49" s="490" t="s">
        <v>357</v>
      </c>
      <c r="K49" s="491"/>
      <c r="L49" s="491"/>
      <c r="M49" s="491"/>
      <c r="N49" s="491"/>
      <c r="O49" s="491"/>
      <c r="P49" s="492"/>
      <c r="Q49" s="310" t="s">
        <v>108</v>
      </c>
    </row>
    <row r="50" spans="1:18" x14ac:dyDescent="0.3">
      <c r="A50" s="58" t="s">
        <v>48</v>
      </c>
      <c r="B50" s="58" t="s">
        <v>111</v>
      </c>
      <c r="C50" s="58" t="s">
        <v>346</v>
      </c>
      <c r="D50" s="276" t="s">
        <v>347</v>
      </c>
      <c r="E50" s="58" t="s">
        <v>349</v>
      </c>
      <c r="F50" s="58" t="s">
        <v>348</v>
      </c>
      <c r="G50" s="58" t="s">
        <v>296</v>
      </c>
      <c r="H50" s="58" t="s">
        <v>143</v>
      </c>
      <c r="I50" s="58" t="s">
        <v>143</v>
      </c>
      <c r="J50" s="58" t="s">
        <v>351</v>
      </c>
      <c r="K50" s="58" t="s">
        <v>351</v>
      </c>
      <c r="L50" s="58" t="s">
        <v>351</v>
      </c>
      <c r="M50" s="58" t="s">
        <v>351</v>
      </c>
      <c r="N50" s="58" t="s">
        <v>351</v>
      </c>
      <c r="O50" s="58" t="s">
        <v>357</v>
      </c>
      <c r="P50" s="58" t="s">
        <v>357</v>
      </c>
      <c r="Q50" s="58" t="s">
        <v>108</v>
      </c>
    </row>
    <row r="51" spans="1:18" x14ac:dyDescent="0.3">
      <c r="A51" s="59"/>
      <c r="B51" s="59"/>
      <c r="C51" s="59"/>
      <c r="D51" s="281"/>
      <c r="E51" s="59" t="s">
        <v>362</v>
      </c>
      <c r="F51" s="59" t="s">
        <v>363</v>
      </c>
      <c r="G51" s="59" t="s">
        <v>350</v>
      </c>
      <c r="H51" s="59" t="s">
        <v>440</v>
      </c>
      <c r="I51" s="59" t="s">
        <v>441</v>
      </c>
      <c r="J51" s="59" t="s">
        <v>352</v>
      </c>
      <c r="K51" s="59" t="s">
        <v>353</v>
      </c>
      <c r="L51" s="59" t="s">
        <v>354</v>
      </c>
      <c r="M51" s="59" t="s">
        <v>355</v>
      </c>
      <c r="N51" s="59" t="s">
        <v>356</v>
      </c>
      <c r="O51" s="59"/>
      <c r="P51" s="59" t="s">
        <v>309</v>
      </c>
      <c r="Q51" s="59" t="s">
        <v>309</v>
      </c>
    </row>
    <row r="52" spans="1:18" x14ac:dyDescent="0.3">
      <c r="A52" s="60"/>
      <c r="B52" s="60"/>
      <c r="C52" s="60"/>
      <c r="D52" s="305" t="s">
        <v>361</v>
      </c>
      <c r="E52" s="305" t="s">
        <v>361</v>
      </c>
      <c r="F52" s="305" t="s">
        <v>361</v>
      </c>
      <c r="G52" s="60"/>
      <c r="H52" s="60"/>
      <c r="I52" s="305" t="s">
        <v>361</v>
      </c>
      <c r="J52" s="305" t="s">
        <v>361</v>
      </c>
      <c r="K52" s="305" t="s">
        <v>361</v>
      </c>
      <c r="L52" s="305" t="s">
        <v>361</v>
      </c>
      <c r="M52" s="305" t="s">
        <v>361</v>
      </c>
      <c r="N52" s="305" t="s">
        <v>361</v>
      </c>
      <c r="O52" s="60" t="s">
        <v>446</v>
      </c>
      <c r="P52" s="60" t="s">
        <v>130</v>
      </c>
      <c r="Q52" s="60" t="s">
        <v>109</v>
      </c>
    </row>
    <row r="53" spans="1:18" x14ac:dyDescent="0.3">
      <c r="A53" s="61">
        <v>1</v>
      </c>
      <c r="B53" s="90"/>
      <c r="C53" s="90"/>
      <c r="D53" s="313" t="str">
        <f>IF(OR($A$47="",C53=""),"",$A$47*C53)</f>
        <v/>
      </c>
      <c r="E53" s="90"/>
      <c r="F53" s="90"/>
      <c r="G53" s="314" t="str">
        <f>IF(OR(D53="",E53="",F53=""),"",(E53+D53)/(F53+D53))</f>
        <v/>
      </c>
      <c r="H53" s="104" t="str">
        <f>IF(OR($A$47="",E53="",F53=""),"",IF(G53&lt;250,"IKKE OK","OK"))</f>
        <v/>
      </c>
      <c r="I53" s="104" t="str">
        <f>IF(OR($A$47="",F53="",E53=""),"",IF(E53&lt;350,"IKKE OK","OK"))</f>
        <v/>
      </c>
      <c r="J53" s="90"/>
      <c r="K53" s="90"/>
      <c r="L53" s="90"/>
      <c r="M53" s="90"/>
      <c r="N53" s="90"/>
      <c r="O53" s="181" t="str">
        <f>IF(OR(J53="",K53="",L53="",M53="",N53=""),"",(MAX(J53:N53)-MIN(J53:N53))/MIN(J53:N53)*100)</f>
        <v/>
      </c>
      <c r="P53" s="90"/>
      <c r="Q53" s="90"/>
    </row>
    <row r="54" spans="1:18" x14ac:dyDescent="0.3">
      <c r="A54" s="61">
        <v>2</v>
      </c>
      <c r="B54" s="90"/>
      <c r="C54" s="90"/>
      <c r="D54" s="313" t="str">
        <f t="shared" ref="D54:D58" si="0">IF(OR($A$47="",C54=""),"",$A$47*C54)</f>
        <v/>
      </c>
      <c r="E54" s="90"/>
      <c r="F54" s="90"/>
      <c r="G54" s="314" t="str">
        <f t="shared" ref="G54:G58" si="1">IF(OR(D54="",E54="",F54=""),"",(E54+D54)/(F54+D54))</f>
        <v/>
      </c>
      <c r="H54" s="104" t="str">
        <f t="shared" ref="H54:H58" si="2">IF(OR($A$47="",E54="",F54=""),"",IF(G54&lt;250,"IKKE OK","OK"))</f>
        <v/>
      </c>
      <c r="I54" s="104" t="str">
        <f t="shared" ref="I54:I58" si="3">IF(OR($A$47="",F54="",E54=""),"",IF(E54&lt;350,"IKKE OK","OK"))</f>
        <v/>
      </c>
      <c r="J54" s="90"/>
      <c r="K54" s="90"/>
      <c r="L54" s="90"/>
      <c r="M54" s="90"/>
      <c r="N54" s="90"/>
      <c r="O54" s="181" t="str">
        <f>IF(OR(J54="",K54="",L54="",M54="",N54=""),"",(MAX(J54:N54)-MIN(J54:N54))/MIN(J54:N54)*100)</f>
        <v/>
      </c>
      <c r="P54" s="90"/>
      <c r="Q54" s="90"/>
    </row>
    <row r="55" spans="1:18" x14ac:dyDescent="0.3">
      <c r="A55" s="61">
        <v>3</v>
      </c>
      <c r="B55" s="90"/>
      <c r="C55" s="90"/>
      <c r="D55" s="313" t="str">
        <f t="shared" si="0"/>
        <v/>
      </c>
      <c r="E55" s="90"/>
      <c r="F55" s="90"/>
      <c r="G55" s="314" t="str">
        <f t="shared" si="1"/>
        <v/>
      </c>
      <c r="H55" s="104" t="str">
        <f t="shared" si="2"/>
        <v/>
      </c>
      <c r="I55" s="104" t="str">
        <f t="shared" si="3"/>
        <v/>
      </c>
      <c r="J55" s="90"/>
      <c r="K55" s="90"/>
      <c r="L55" s="90"/>
      <c r="M55" s="90"/>
      <c r="N55" s="90"/>
      <c r="O55" s="181" t="str">
        <f t="shared" ref="O55:O58" si="4">IF(OR(J55="",K55="",L55="",M55="",N55=""),"",(MAX(J55:N55)-MIN(J55:N55))/MIN(J55:N55)*100)</f>
        <v/>
      </c>
      <c r="P55" s="90"/>
      <c r="Q55" s="90"/>
    </row>
    <row r="56" spans="1:18" x14ac:dyDescent="0.3">
      <c r="A56" s="61">
        <v>4</v>
      </c>
      <c r="B56" s="90"/>
      <c r="C56" s="90"/>
      <c r="D56" s="313" t="str">
        <f t="shared" si="0"/>
        <v/>
      </c>
      <c r="E56" s="90"/>
      <c r="F56" s="90"/>
      <c r="G56" s="314" t="str">
        <f t="shared" si="1"/>
        <v/>
      </c>
      <c r="H56" s="104" t="str">
        <f>IF(OR($A$47="",E56="",F56=""),"",IF(G56&lt;250,"IKKE OK","OK"))</f>
        <v/>
      </c>
      <c r="I56" s="104" t="str">
        <f t="shared" si="3"/>
        <v/>
      </c>
      <c r="J56" s="90"/>
      <c r="K56" s="90"/>
      <c r="L56" s="90"/>
      <c r="M56" s="90"/>
      <c r="N56" s="90"/>
      <c r="O56" s="181" t="str">
        <f t="shared" si="4"/>
        <v/>
      </c>
      <c r="P56" s="90"/>
      <c r="Q56" s="90"/>
    </row>
    <row r="57" spans="1:18" x14ac:dyDescent="0.3">
      <c r="A57" s="61">
        <v>5</v>
      </c>
      <c r="B57" s="90"/>
      <c r="C57" s="90"/>
      <c r="D57" s="313" t="str">
        <f t="shared" si="0"/>
        <v/>
      </c>
      <c r="E57" s="90"/>
      <c r="F57" s="90"/>
      <c r="G57" s="314" t="str">
        <f t="shared" si="1"/>
        <v/>
      </c>
      <c r="H57" s="104" t="str">
        <f>IF(OR($A$47="",E57="",F57=""),"",IF(G57&lt;250,"IKKE OK","OK"))</f>
        <v/>
      </c>
      <c r="I57" s="104" t="str">
        <f t="shared" si="3"/>
        <v/>
      </c>
      <c r="J57" s="90"/>
      <c r="K57" s="90"/>
      <c r="L57" s="90"/>
      <c r="M57" s="90"/>
      <c r="N57" s="90"/>
      <c r="O57" s="181" t="str">
        <f t="shared" si="4"/>
        <v/>
      </c>
      <c r="P57" s="90"/>
      <c r="Q57" s="90"/>
    </row>
    <row r="58" spans="1:18" x14ac:dyDescent="0.3">
      <c r="A58" s="61">
        <v>6</v>
      </c>
      <c r="B58" s="90"/>
      <c r="C58" s="90"/>
      <c r="D58" s="313" t="str">
        <f t="shared" si="0"/>
        <v/>
      </c>
      <c r="E58" s="90"/>
      <c r="F58" s="90"/>
      <c r="G58" s="314" t="str">
        <f t="shared" si="1"/>
        <v/>
      </c>
      <c r="H58" s="104" t="str">
        <f t="shared" si="2"/>
        <v/>
      </c>
      <c r="I58" s="104" t="str">
        <f t="shared" si="3"/>
        <v/>
      </c>
      <c r="J58" s="90"/>
      <c r="K58" s="90"/>
      <c r="L58" s="90"/>
      <c r="M58" s="90"/>
      <c r="N58" s="90"/>
      <c r="O58" s="181" t="str">
        <f t="shared" si="4"/>
        <v/>
      </c>
      <c r="P58" s="90"/>
      <c r="Q58" s="90"/>
    </row>
    <row r="59" spans="1:18" x14ac:dyDescent="0.3">
      <c r="Q59" s="326" t="s">
        <v>445</v>
      </c>
    </row>
    <row r="61" spans="1:18" ht="18" x14ac:dyDescent="0.35">
      <c r="A61" s="46" t="s">
        <v>213</v>
      </c>
      <c r="B61" s="48"/>
      <c r="C61" s="48"/>
      <c r="D61" s="48"/>
      <c r="E61" s="46"/>
      <c r="F61" s="46" t="s">
        <v>600</v>
      </c>
      <c r="G61" s="48"/>
      <c r="H61" s="48"/>
      <c r="I61" s="48"/>
      <c r="J61" s="48"/>
      <c r="K61" s="48"/>
      <c r="L61" s="48"/>
      <c r="M61" s="48"/>
      <c r="N61" s="48"/>
      <c r="O61" s="48"/>
      <c r="P61" s="48"/>
      <c r="Q61" s="48"/>
      <c r="R61" s="54"/>
    </row>
    <row r="63" spans="1:18" x14ac:dyDescent="0.3">
      <c r="A63" s="49" t="s">
        <v>280</v>
      </c>
      <c r="B63" s="50"/>
      <c r="C63" s="50"/>
      <c r="D63" s="50"/>
      <c r="E63" s="50"/>
      <c r="F63" s="50"/>
      <c r="G63" s="50"/>
      <c r="H63" s="50"/>
      <c r="I63" s="50"/>
      <c r="J63" s="50"/>
      <c r="K63" s="50"/>
      <c r="L63" s="73" t="s">
        <v>96</v>
      </c>
      <c r="M63" s="50"/>
      <c r="N63" s="50"/>
      <c r="O63" s="50"/>
      <c r="P63" s="50"/>
      <c r="Q63" s="50"/>
    </row>
    <row r="64" spans="1:18" x14ac:dyDescent="0.3">
      <c r="A64" s="51" t="s">
        <v>44</v>
      </c>
      <c r="B64" s="52" t="s">
        <v>72</v>
      </c>
      <c r="C64" s="52"/>
      <c r="D64" s="52"/>
      <c r="E64" s="52"/>
      <c r="F64" s="52"/>
      <c r="G64" s="52"/>
      <c r="H64" s="52"/>
      <c r="I64" s="52"/>
      <c r="J64" s="52"/>
      <c r="K64" s="52"/>
      <c r="L64" s="432"/>
      <c r="M64" s="433"/>
      <c r="N64" s="433"/>
      <c r="O64" s="433"/>
      <c r="P64" s="433"/>
      <c r="Q64" s="434"/>
    </row>
    <row r="65" spans="1:17" x14ac:dyDescent="0.3">
      <c r="A65" s="53" t="s">
        <v>45</v>
      </c>
      <c r="B65" s="54" t="s">
        <v>110</v>
      </c>
      <c r="C65" s="54"/>
      <c r="D65" s="54"/>
      <c r="E65" s="54"/>
      <c r="F65" s="54"/>
      <c r="G65" s="54"/>
      <c r="H65" s="54"/>
      <c r="I65" s="54"/>
      <c r="J65" s="54"/>
      <c r="K65" s="54"/>
      <c r="L65" s="435"/>
      <c r="M65" s="436"/>
      <c r="N65" s="436"/>
      <c r="O65" s="436"/>
      <c r="P65" s="436"/>
      <c r="Q65" s="437"/>
    </row>
    <row r="66" spans="1:17" x14ac:dyDescent="0.3">
      <c r="A66" s="53" t="s">
        <v>46</v>
      </c>
      <c r="B66" s="54" t="s">
        <v>366</v>
      </c>
      <c r="C66" s="54"/>
      <c r="D66" s="54"/>
      <c r="E66" s="54"/>
      <c r="F66" s="54"/>
      <c r="G66" s="54"/>
      <c r="H66" s="54"/>
      <c r="I66" s="54"/>
      <c r="J66" s="54"/>
      <c r="K66" s="54"/>
      <c r="L66" s="435"/>
      <c r="M66" s="436"/>
      <c r="N66" s="436"/>
      <c r="O66" s="436"/>
      <c r="P66" s="436"/>
      <c r="Q66" s="437"/>
    </row>
    <row r="67" spans="1:17" x14ac:dyDescent="0.3">
      <c r="A67" s="53"/>
      <c r="B67" s="54" t="s">
        <v>288</v>
      </c>
      <c r="C67" s="54"/>
      <c r="D67" s="54"/>
      <c r="E67" s="54"/>
      <c r="F67" s="54"/>
      <c r="G67" s="54"/>
      <c r="H67" s="54"/>
      <c r="I67" s="54"/>
      <c r="J67" s="54"/>
      <c r="K67" s="54"/>
      <c r="L67" s="435"/>
      <c r="M67" s="436"/>
      <c r="N67" s="436"/>
      <c r="O67" s="436"/>
      <c r="P67" s="436"/>
      <c r="Q67" s="437"/>
    </row>
    <row r="68" spans="1:17" x14ac:dyDescent="0.3">
      <c r="A68" s="53"/>
      <c r="B68" s="54" t="s">
        <v>630</v>
      </c>
      <c r="C68" s="54"/>
      <c r="D68" s="54"/>
      <c r="E68" s="54"/>
      <c r="F68" s="54"/>
      <c r="G68" s="54"/>
      <c r="H68" s="54"/>
      <c r="I68" s="54"/>
      <c r="J68" s="54"/>
      <c r="K68" s="54"/>
      <c r="L68" s="435"/>
      <c r="M68" s="436"/>
      <c r="N68" s="436"/>
      <c r="O68" s="436"/>
      <c r="P68" s="436"/>
      <c r="Q68" s="437"/>
    </row>
    <row r="69" spans="1:17" x14ac:dyDescent="0.3">
      <c r="A69" s="53"/>
      <c r="B69" s="54" t="s">
        <v>631</v>
      </c>
      <c r="C69" s="54"/>
      <c r="D69" s="54"/>
      <c r="E69" s="54"/>
      <c r="F69" s="54"/>
      <c r="G69" s="54"/>
      <c r="H69" s="54"/>
      <c r="I69" s="54"/>
      <c r="J69" s="54"/>
      <c r="K69" s="54"/>
      <c r="L69" s="435"/>
      <c r="M69" s="436"/>
      <c r="N69" s="436"/>
      <c r="O69" s="436"/>
      <c r="P69" s="436"/>
      <c r="Q69" s="437"/>
    </row>
    <row r="70" spans="1:17" x14ac:dyDescent="0.3">
      <c r="A70" s="53"/>
      <c r="B70" s="54" t="s">
        <v>632</v>
      </c>
      <c r="C70" s="54"/>
      <c r="D70" s="54"/>
      <c r="E70" s="54"/>
      <c r="F70" s="54"/>
      <c r="G70" s="54"/>
      <c r="H70" s="54"/>
      <c r="I70" s="54"/>
      <c r="J70" s="54"/>
      <c r="K70" s="54"/>
      <c r="L70" s="435"/>
      <c r="M70" s="436"/>
      <c r="N70" s="436"/>
      <c r="O70" s="436"/>
      <c r="P70" s="436"/>
      <c r="Q70" s="437"/>
    </row>
    <row r="71" spans="1:17" x14ac:dyDescent="0.3">
      <c r="A71" s="53"/>
      <c r="B71" s="54" t="s">
        <v>633</v>
      </c>
      <c r="C71" s="54"/>
      <c r="D71" s="54"/>
      <c r="E71" s="54"/>
      <c r="F71" s="54"/>
      <c r="G71" s="54"/>
      <c r="H71" s="54"/>
      <c r="I71" s="54"/>
      <c r="J71" s="54"/>
      <c r="K71" s="54"/>
      <c r="L71" s="435"/>
      <c r="M71" s="436"/>
      <c r="N71" s="436"/>
      <c r="O71" s="436"/>
      <c r="P71" s="436"/>
      <c r="Q71" s="437"/>
    </row>
    <row r="72" spans="1:17" x14ac:dyDescent="0.3">
      <c r="A72" s="53"/>
      <c r="B72" s="54" t="s">
        <v>542</v>
      </c>
      <c r="C72" s="54"/>
      <c r="D72" s="54"/>
      <c r="E72" s="54"/>
      <c r="F72" s="54"/>
      <c r="G72" s="54"/>
      <c r="H72" s="54"/>
      <c r="I72" s="54"/>
      <c r="J72" s="54"/>
      <c r="K72" s="54"/>
      <c r="L72" s="435"/>
      <c r="M72" s="436"/>
      <c r="N72" s="436"/>
      <c r="O72" s="436"/>
      <c r="P72" s="436"/>
      <c r="Q72" s="437"/>
    </row>
    <row r="73" spans="1:17" x14ac:dyDescent="0.3">
      <c r="A73" s="53" t="s">
        <v>47</v>
      </c>
      <c r="B73" s="54" t="s">
        <v>634</v>
      </c>
      <c r="C73" s="54"/>
      <c r="D73" s="54"/>
      <c r="E73" s="54"/>
      <c r="F73" s="54"/>
      <c r="G73" s="54"/>
      <c r="H73" s="54"/>
      <c r="I73" s="54"/>
      <c r="J73" s="54"/>
      <c r="K73" s="54"/>
      <c r="L73" s="435"/>
      <c r="M73" s="436"/>
      <c r="N73" s="436"/>
      <c r="O73" s="436"/>
      <c r="P73" s="436"/>
      <c r="Q73" s="437"/>
    </row>
    <row r="74" spans="1:17" x14ac:dyDescent="0.3">
      <c r="A74" s="53"/>
      <c r="B74" s="54" t="s">
        <v>635</v>
      </c>
      <c r="C74" s="54"/>
      <c r="D74" s="54"/>
      <c r="E74" s="54"/>
      <c r="F74" s="54"/>
      <c r="G74" s="54"/>
      <c r="H74" s="54"/>
      <c r="I74" s="54"/>
      <c r="J74" s="54"/>
      <c r="K74" s="54"/>
      <c r="L74" s="435"/>
      <c r="M74" s="436"/>
      <c r="N74" s="436"/>
      <c r="O74" s="436"/>
      <c r="P74" s="436"/>
      <c r="Q74" s="437"/>
    </row>
    <row r="75" spans="1:17" x14ac:dyDescent="0.3">
      <c r="A75" s="53"/>
      <c r="B75" s="54" t="s">
        <v>636</v>
      </c>
      <c r="C75" s="54"/>
      <c r="D75" s="54"/>
      <c r="E75" s="54"/>
      <c r="F75" s="54"/>
      <c r="G75" s="54"/>
      <c r="H75" s="54"/>
      <c r="I75" s="54"/>
      <c r="J75" s="54"/>
      <c r="K75" s="54"/>
      <c r="L75" s="435"/>
      <c r="M75" s="436"/>
      <c r="N75" s="436"/>
      <c r="O75" s="436"/>
      <c r="P75" s="436"/>
      <c r="Q75" s="437"/>
    </row>
    <row r="76" spans="1:17" x14ac:dyDescent="0.3">
      <c r="A76" s="264"/>
      <c r="B76" s="182"/>
      <c r="C76" s="77"/>
      <c r="D76" s="77"/>
      <c r="E76" s="77"/>
      <c r="F76" s="77"/>
      <c r="G76" s="77"/>
      <c r="H76" s="77"/>
      <c r="I76" s="77"/>
      <c r="J76" s="77"/>
      <c r="K76" s="77"/>
      <c r="L76" s="429"/>
      <c r="M76" s="430"/>
      <c r="N76" s="430"/>
      <c r="O76" s="430"/>
      <c r="P76" s="430"/>
      <c r="Q76" s="431"/>
    </row>
    <row r="77" spans="1:17" x14ac:dyDescent="0.3">
      <c r="A77" s="54"/>
      <c r="I77" s="47"/>
      <c r="J77" s="47"/>
      <c r="K77" s="47"/>
      <c r="L77" s="47"/>
      <c r="M77" s="47"/>
      <c r="N77" s="47"/>
      <c r="O77" s="47"/>
      <c r="P77" s="47"/>
      <c r="Q77" s="47"/>
    </row>
    <row r="78" spans="1:17" x14ac:dyDescent="0.3">
      <c r="A78" s="56" t="s">
        <v>281</v>
      </c>
      <c r="B78" s="57"/>
      <c r="C78" s="57"/>
      <c r="D78" s="57"/>
      <c r="E78" s="57"/>
      <c r="F78" s="57"/>
      <c r="G78" s="57"/>
      <c r="H78" s="57"/>
      <c r="I78" s="57"/>
      <c r="J78" s="57"/>
      <c r="K78" s="57"/>
      <c r="L78" s="57"/>
      <c r="M78" s="57"/>
      <c r="N78" s="57"/>
      <c r="O78" s="57"/>
      <c r="P78" s="57"/>
      <c r="Q78" s="57"/>
    </row>
    <row r="80" spans="1:17" x14ac:dyDescent="0.3">
      <c r="A80" s="217"/>
      <c r="B80" s="234" t="s">
        <v>119</v>
      </c>
      <c r="C80" s="234"/>
      <c r="D80" s="234"/>
      <c r="E80" s="234"/>
      <c r="F80" s="234"/>
      <c r="G80" s="257"/>
      <c r="H80" s="234"/>
      <c r="I80" s="234"/>
      <c r="J80" s="234"/>
      <c r="K80" s="237"/>
      <c r="L80" s="211"/>
    </row>
    <row r="81" spans="1:18" x14ac:dyDescent="0.3">
      <c r="A81" s="125"/>
      <c r="B81" s="233" t="s">
        <v>449</v>
      </c>
      <c r="C81" s="233"/>
      <c r="D81" s="233"/>
      <c r="E81" s="233"/>
      <c r="F81" s="233"/>
      <c r="G81" s="239"/>
      <c r="H81" s="233"/>
      <c r="I81" s="233"/>
      <c r="J81" s="233"/>
      <c r="K81" s="246"/>
      <c r="L81" s="209"/>
      <c r="M81" s="230"/>
    </row>
    <row r="82" spans="1:18" x14ac:dyDescent="0.3">
      <c r="A82" s="216"/>
      <c r="B82" s="182"/>
      <c r="C82" s="182"/>
      <c r="D82" s="182"/>
      <c r="E82" s="182"/>
      <c r="F82" s="182"/>
      <c r="G82" s="183"/>
      <c r="H82" s="182"/>
      <c r="I82" s="182"/>
      <c r="J82" s="182"/>
      <c r="K82" s="252"/>
      <c r="L82" s="209"/>
      <c r="M82" s="230"/>
    </row>
    <row r="83" spans="1:18" x14ac:dyDescent="0.3">
      <c r="A83" s="58" t="s">
        <v>48</v>
      </c>
      <c r="B83" s="58" t="s">
        <v>111</v>
      </c>
      <c r="C83" s="196" t="s">
        <v>291</v>
      </c>
      <c r="D83" s="198"/>
      <c r="E83" s="58" t="s">
        <v>52</v>
      </c>
      <c r="F83" s="58" t="s">
        <v>59</v>
      </c>
      <c r="G83" s="58" t="s">
        <v>50</v>
      </c>
      <c r="H83" s="58" t="s">
        <v>51</v>
      </c>
      <c r="I83" s="58" t="s">
        <v>108</v>
      </c>
      <c r="J83" s="58" t="s">
        <v>106</v>
      </c>
      <c r="K83" s="58" t="s">
        <v>294</v>
      </c>
      <c r="L83" s="58" t="s">
        <v>474</v>
      </c>
    </row>
    <row r="84" spans="1:18" x14ac:dyDescent="0.3">
      <c r="A84" s="59"/>
      <c r="B84" s="59"/>
      <c r="C84" s="189"/>
      <c r="D84" s="190"/>
      <c r="E84" s="59" t="s">
        <v>54</v>
      </c>
      <c r="F84" s="59" t="s">
        <v>60</v>
      </c>
      <c r="G84" s="59"/>
      <c r="H84" s="59"/>
      <c r="I84" s="59" t="s">
        <v>309</v>
      </c>
      <c r="J84" s="59" t="s">
        <v>107</v>
      </c>
      <c r="K84" s="59" t="s">
        <v>295</v>
      </c>
      <c r="L84" s="59" t="s">
        <v>477</v>
      </c>
    </row>
    <row r="85" spans="1:18" x14ac:dyDescent="0.3">
      <c r="A85" s="60"/>
      <c r="B85" s="60"/>
      <c r="C85" s="191"/>
      <c r="D85" s="192"/>
      <c r="E85" s="60"/>
      <c r="F85" s="60"/>
      <c r="G85" s="60"/>
      <c r="H85" s="60"/>
      <c r="I85" s="60" t="s">
        <v>109</v>
      </c>
      <c r="J85" s="60" t="s">
        <v>293</v>
      </c>
      <c r="K85" s="60" t="s">
        <v>109</v>
      </c>
      <c r="L85" s="186"/>
    </row>
    <row r="86" spans="1:18" x14ac:dyDescent="0.3">
      <c r="A86" s="144">
        <v>1</v>
      </c>
      <c r="B86" s="113"/>
      <c r="C86" s="432"/>
      <c r="D86" s="434"/>
      <c r="E86" s="113"/>
      <c r="F86" s="113"/>
      <c r="G86" s="113"/>
      <c r="H86" s="113"/>
      <c r="I86" s="113"/>
      <c r="J86" s="113"/>
      <c r="K86" s="113"/>
      <c r="L86" s="240" t="s">
        <v>475</v>
      </c>
    </row>
    <row r="87" spans="1:18" x14ac:dyDescent="0.3">
      <c r="A87" s="145">
        <v>2</v>
      </c>
      <c r="B87" s="115"/>
      <c r="C87" s="429"/>
      <c r="D87" s="431"/>
      <c r="E87" s="115"/>
      <c r="F87" s="115"/>
      <c r="G87" s="115"/>
      <c r="H87" s="115"/>
      <c r="I87" s="115"/>
      <c r="J87" s="115"/>
      <c r="K87" s="115"/>
      <c r="L87" s="243" t="s">
        <v>476</v>
      </c>
    </row>
    <row r="90" spans="1:18" ht="18" x14ac:dyDescent="0.35">
      <c r="A90" s="46" t="s">
        <v>333</v>
      </c>
      <c r="B90" s="48"/>
      <c r="C90" s="48"/>
      <c r="D90" s="48"/>
      <c r="E90" s="48"/>
      <c r="F90" s="46" t="s">
        <v>600</v>
      </c>
      <c r="G90" s="48"/>
      <c r="H90" s="48"/>
      <c r="I90" s="48"/>
      <c r="J90" s="48"/>
      <c r="K90" s="48"/>
      <c r="L90" s="48"/>
      <c r="M90" s="48"/>
      <c r="N90" s="48"/>
      <c r="O90" s="48"/>
      <c r="P90" s="48"/>
      <c r="Q90" s="48"/>
      <c r="R90" s="54"/>
    </row>
    <row r="92" spans="1:18" x14ac:dyDescent="0.3">
      <c r="A92" s="49" t="s">
        <v>282</v>
      </c>
      <c r="B92" s="50"/>
      <c r="C92" s="50"/>
      <c r="D92" s="50"/>
      <c r="E92" s="50"/>
      <c r="F92" s="50"/>
      <c r="G92" s="50"/>
      <c r="H92" s="50"/>
      <c r="I92" s="50"/>
      <c r="J92" s="50"/>
      <c r="K92" s="50"/>
      <c r="L92" s="73" t="s">
        <v>96</v>
      </c>
      <c r="M92" s="50"/>
      <c r="N92" s="50"/>
      <c r="O92" s="50"/>
      <c r="P92" s="50"/>
      <c r="Q92" s="50"/>
    </row>
    <row r="93" spans="1:18" x14ac:dyDescent="0.3">
      <c r="A93" s="51" t="s">
        <v>44</v>
      </c>
      <c r="B93" s="52" t="s">
        <v>72</v>
      </c>
      <c r="C93" s="52"/>
      <c r="D93" s="52"/>
      <c r="E93" s="52"/>
      <c r="F93" s="52"/>
      <c r="G93" s="52"/>
      <c r="H93" s="52"/>
      <c r="I93" s="52"/>
      <c r="J93" s="52"/>
      <c r="K93" s="52"/>
      <c r="L93" s="432"/>
      <c r="M93" s="433"/>
      <c r="N93" s="433"/>
      <c r="O93" s="433"/>
      <c r="P93" s="433"/>
      <c r="Q93" s="434"/>
    </row>
    <row r="94" spans="1:18" x14ac:dyDescent="0.3">
      <c r="A94" s="53" t="s">
        <v>45</v>
      </c>
      <c r="B94" s="54" t="s">
        <v>637</v>
      </c>
      <c r="C94" s="54"/>
      <c r="D94" s="54"/>
      <c r="E94" s="54"/>
      <c r="F94" s="54"/>
      <c r="G94" s="54"/>
      <c r="H94" s="54"/>
      <c r="I94" s="54"/>
      <c r="J94" s="54"/>
      <c r="K94" s="54"/>
      <c r="L94" s="426"/>
      <c r="M94" s="427"/>
      <c r="N94" s="427"/>
      <c r="O94" s="427"/>
      <c r="P94" s="427"/>
      <c r="Q94" s="428"/>
    </row>
    <row r="95" spans="1:18" x14ac:dyDescent="0.3">
      <c r="A95" s="53"/>
      <c r="B95" s="54" t="s">
        <v>451</v>
      </c>
      <c r="C95" s="54"/>
      <c r="D95" s="54"/>
      <c r="E95" s="54"/>
      <c r="F95" s="54"/>
      <c r="G95" s="54"/>
      <c r="H95" s="54"/>
      <c r="I95" s="54"/>
      <c r="J95" s="54"/>
      <c r="K95" s="54"/>
      <c r="L95" s="426"/>
      <c r="M95" s="427"/>
      <c r="N95" s="427"/>
      <c r="O95" s="427"/>
      <c r="P95" s="427"/>
      <c r="Q95" s="428"/>
    </row>
    <row r="96" spans="1:18" x14ac:dyDescent="0.3">
      <c r="A96" s="53"/>
      <c r="B96" s="54" t="s">
        <v>638</v>
      </c>
      <c r="C96" s="54"/>
      <c r="D96" s="54"/>
      <c r="E96" s="54"/>
      <c r="F96" s="54"/>
      <c r="G96" s="54"/>
      <c r="H96" s="54"/>
      <c r="I96" s="54"/>
      <c r="J96" s="54"/>
      <c r="K96" s="54"/>
      <c r="L96" s="435"/>
      <c r="M96" s="436"/>
      <c r="N96" s="436"/>
      <c r="O96" s="436"/>
      <c r="P96" s="436"/>
      <c r="Q96" s="437"/>
    </row>
    <row r="97" spans="1:17" x14ac:dyDescent="0.3">
      <c r="A97" s="53" t="s">
        <v>46</v>
      </c>
      <c r="B97" s="54" t="s">
        <v>367</v>
      </c>
      <c r="C97" s="54"/>
      <c r="D97" s="54"/>
      <c r="E97" s="54"/>
      <c r="F97" s="54"/>
      <c r="G97" s="54"/>
      <c r="H97" s="54"/>
      <c r="I97" s="54"/>
      <c r="J97" s="54"/>
      <c r="K97" s="54"/>
      <c r="L97" s="435"/>
      <c r="M97" s="436"/>
      <c r="N97" s="436"/>
      <c r="O97" s="436"/>
      <c r="P97" s="436"/>
      <c r="Q97" s="437"/>
    </row>
    <row r="98" spans="1:17" x14ac:dyDescent="0.3">
      <c r="A98" s="53"/>
      <c r="B98" s="184" t="s">
        <v>368</v>
      </c>
      <c r="C98" s="54"/>
      <c r="D98" s="54"/>
      <c r="E98" s="54"/>
      <c r="F98" s="54"/>
      <c r="G98" s="54"/>
      <c r="H98" s="54"/>
      <c r="I98" s="54"/>
      <c r="J98" s="54"/>
      <c r="K98" s="54"/>
      <c r="L98" s="435"/>
      <c r="M98" s="436"/>
      <c r="N98" s="436"/>
      <c r="O98" s="436"/>
      <c r="P98" s="436"/>
      <c r="Q98" s="437"/>
    </row>
    <row r="99" spans="1:17" x14ac:dyDescent="0.3">
      <c r="A99" s="53"/>
      <c r="B99" s="184" t="s">
        <v>369</v>
      </c>
      <c r="C99" s="54"/>
      <c r="D99" s="54"/>
      <c r="E99" s="54"/>
      <c r="F99" s="54"/>
      <c r="G99" s="54"/>
      <c r="H99" s="54"/>
      <c r="I99" s="54"/>
      <c r="J99" s="54"/>
      <c r="K99" s="54"/>
      <c r="L99" s="435"/>
      <c r="M99" s="436"/>
      <c r="N99" s="436"/>
      <c r="O99" s="436"/>
      <c r="P99" s="436"/>
      <c r="Q99" s="437"/>
    </row>
    <row r="100" spans="1:17" x14ac:dyDescent="0.3">
      <c r="A100" s="53"/>
      <c r="B100" s="263" t="s">
        <v>639</v>
      </c>
      <c r="C100" s="54"/>
      <c r="D100" s="54"/>
      <c r="E100" s="54"/>
      <c r="F100" s="54"/>
      <c r="G100" s="54"/>
      <c r="H100" s="54"/>
      <c r="I100" s="54"/>
      <c r="J100" s="54"/>
      <c r="K100" s="54"/>
      <c r="L100" s="435"/>
      <c r="M100" s="436"/>
      <c r="N100" s="436"/>
      <c r="O100" s="436"/>
      <c r="P100" s="436"/>
      <c r="Q100" s="437"/>
    </row>
    <row r="101" spans="1:17" x14ac:dyDescent="0.3">
      <c r="A101" s="53"/>
      <c r="B101" s="54" t="s">
        <v>158</v>
      </c>
      <c r="C101" s="54"/>
      <c r="D101" s="54"/>
      <c r="E101" s="54"/>
      <c r="F101" s="54"/>
      <c r="G101" s="54"/>
      <c r="H101" s="54"/>
      <c r="I101" s="54"/>
      <c r="J101" s="54"/>
      <c r="K101" s="54"/>
      <c r="L101" s="435"/>
      <c r="M101" s="436"/>
      <c r="N101" s="436"/>
      <c r="O101" s="436"/>
      <c r="P101" s="436"/>
      <c r="Q101" s="437"/>
    </row>
    <row r="102" spans="1:17" x14ac:dyDescent="0.3">
      <c r="A102" s="53"/>
      <c r="B102" s="54" t="s">
        <v>640</v>
      </c>
      <c r="C102" s="54"/>
      <c r="D102" s="54"/>
      <c r="E102" s="54"/>
      <c r="F102" s="54"/>
      <c r="G102" s="54"/>
      <c r="H102" s="54"/>
      <c r="I102" s="54"/>
      <c r="J102" s="54"/>
      <c r="K102" s="54"/>
      <c r="L102" s="435"/>
      <c r="M102" s="436"/>
      <c r="N102" s="436"/>
      <c r="O102" s="436"/>
      <c r="P102" s="436"/>
      <c r="Q102" s="437"/>
    </row>
    <row r="103" spans="1:17" x14ac:dyDescent="0.3">
      <c r="A103" s="53"/>
      <c r="B103" s="184" t="s">
        <v>641</v>
      </c>
      <c r="C103" s="54"/>
      <c r="D103" s="54"/>
      <c r="E103" s="54"/>
      <c r="F103" s="54"/>
      <c r="G103" s="54"/>
      <c r="H103" s="54"/>
      <c r="I103" s="54"/>
      <c r="J103" s="54"/>
      <c r="K103" s="54"/>
      <c r="L103" s="435"/>
      <c r="M103" s="436"/>
      <c r="N103" s="436"/>
      <c r="O103" s="436"/>
      <c r="P103" s="436"/>
      <c r="Q103" s="437"/>
    </row>
    <row r="104" spans="1:17" x14ac:dyDescent="0.3">
      <c r="A104" s="53"/>
      <c r="B104" s="54" t="s">
        <v>642</v>
      </c>
      <c r="C104" s="54"/>
      <c r="D104" s="54"/>
      <c r="E104" s="54"/>
      <c r="F104" s="54"/>
      <c r="G104" s="54"/>
      <c r="H104" s="54"/>
      <c r="I104" s="54"/>
      <c r="J104" s="54"/>
      <c r="K104" s="54"/>
      <c r="L104" s="435"/>
      <c r="M104" s="436"/>
      <c r="N104" s="436"/>
      <c r="O104" s="436"/>
      <c r="P104" s="436"/>
      <c r="Q104" s="437"/>
    </row>
    <row r="105" spans="1:17" x14ac:dyDescent="0.3">
      <c r="A105" s="53"/>
      <c r="B105" s="184" t="s">
        <v>374</v>
      </c>
      <c r="C105" s="54"/>
      <c r="D105" s="54"/>
      <c r="E105" s="54"/>
      <c r="F105" s="54"/>
      <c r="G105" s="54"/>
      <c r="H105" s="54"/>
      <c r="I105" s="54"/>
      <c r="J105" s="54"/>
      <c r="K105" s="54"/>
      <c r="L105" s="435"/>
      <c r="M105" s="436"/>
      <c r="N105" s="436"/>
      <c r="O105" s="436"/>
      <c r="P105" s="436"/>
      <c r="Q105" s="437"/>
    </row>
    <row r="106" spans="1:17" x14ac:dyDescent="0.3">
      <c r="A106" s="53"/>
      <c r="B106" s="54" t="s">
        <v>376</v>
      </c>
      <c r="C106" s="54"/>
      <c r="D106" s="54"/>
      <c r="E106" s="54"/>
      <c r="F106" s="54"/>
      <c r="G106" s="54"/>
      <c r="H106" s="54"/>
      <c r="I106" s="54"/>
      <c r="J106" s="54"/>
      <c r="K106" s="54"/>
      <c r="L106" s="435"/>
      <c r="M106" s="436"/>
      <c r="N106" s="436"/>
      <c r="O106" s="436"/>
      <c r="P106" s="436"/>
      <c r="Q106" s="437"/>
    </row>
    <row r="107" spans="1:17" x14ac:dyDescent="0.3">
      <c r="A107" s="53"/>
      <c r="B107" s="89" t="s">
        <v>544</v>
      </c>
      <c r="C107" s="54"/>
      <c r="D107" s="54"/>
      <c r="E107" s="54"/>
      <c r="F107" s="54"/>
      <c r="G107" s="54"/>
      <c r="H107" s="54"/>
      <c r="I107" s="54"/>
      <c r="J107" s="54"/>
      <c r="K107" s="54"/>
      <c r="L107" s="435"/>
      <c r="M107" s="436"/>
      <c r="N107" s="436"/>
      <c r="O107" s="436"/>
      <c r="P107" s="436"/>
      <c r="Q107" s="437"/>
    </row>
    <row r="108" spans="1:17" x14ac:dyDescent="0.3">
      <c r="A108" s="53"/>
      <c r="B108" s="54" t="s">
        <v>643</v>
      </c>
      <c r="C108" s="54"/>
      <c r="D108" s="54"/>
      <c r="E108" s="54"/>
      <c r="F108" s="54"/>
      <c r="G108" s="54"/>
      <c r="H108" s="54"/>
      <c r="I108" s="54"/>
      <c r="J108" s="54"/>
      <c r="K108" s="54"/>
      <c r="L108" s="435"/>
      <c r="M108" s="436"/>
      <c r="N108" s="436"/>
      <c r="O108" s="436"/>
      <c r="P108" s="436"/>
      <c r="Q108" s="437"/>
    </row>
    <row r="109" spans="1:17" x14ac:dyDescent="0.3">
      <c r="A109" s="53"/>
      <c r="B109" s="54" t="s">
        <v>564</v>
      </c>
      <c r="C109" s="54"/>
      <c r="D109" s="54"/>
      <c r="E109" s="54"/>
      <c r="F109" s="54"/>
      <c r="G109" s="54"/>
      <c r="H109" s="54"/>
      <c r="I109" s="54"/>
      <c r="J109" s="54"/>
      <c r="K109" s="54"/>
      <c r="L109" s="435"/>
      <c r="M109" s="436"/>
      <c r="N109" s="436"/>
      <c r="O109" s="436"/>
      <c r="P109" s="436"/>
      <c r="Q109" s="437"/>
    </row>
    <row r="110" spans="1:17" x14ac:dyDescent="0.3">
      <c r="A110" s="53" t="s">
        <v>47</v>
      </c>
      <c r="B110" s="54" t="s">
        <v>644</v>
      </c>
      <c r="C110" s="54"/>
      <c r="D110" s="54"/>
      <c r="E110" s="54"/>
      <c r="F110" s="54"/>
      <c r="G110" s="54"/>
      <c r="H110" s="54"/>
      <c r="I110" s="54"/>
      <c r="J110" s="54"/>
      <c r="K110" s="54"/>
      <c r="L110" s="435"/>
      <c r="M110" s="436"/>
      <c r="N110" s="436"/>
      <c r="O110" s="436"/>
      <c r="P110" s="436"/>
      <c r="Q110" s="437"/>
    </row>
    <row r="111" spans="1:17" x14ac:dyDescent="0.3">
      <c r="A111" s="78"/>
      <c r="B111" s="77"/>
      <c r="C111" s="77"/>
      <c r="D111" s="77"/>
      <c r="E111" s="77"/>
      <c r="F111" s="77"/>
      <c r="G111" s="77"/>
      <c r="H111" s="77"/>
      <c r="I111" s="77"/>
      <c r="J111" s="77"/>
      <c r="K111" s="77"/>
      <c r="L111" s="429"/>
      <c r="M111" s="430"/>
      <c r="N111" s="430"/>
      <c r="O111" s="430"/>
      <c r="P111" s="430"/>
      <c r="Q111" s="431"/>
    </row>
    <row r="112" spans="1:17" x14ac:dyDescent="0.3">
      <c r="A112" s="54"/>
      <c r="I112" s="47"/>
      <c r="J112" s="47"/>
      <c r="K112" s="47"/>
      <c r="L112" s="47"/>
      <c r="M112" s="47"/>
      <c r="N112" s="47"/>
      <c r="O112" s="47"/>
      <c r="P112" s="47"/>
      <c r="Q112" s="47"/>
    </row>
    <row r="113" spans="1:18" x14ac:dyDescent="0.3">
      <c r="A113" s="56" t="s">
        <v>283</v>
      </c>
      <c r="B113" s="57"/>
      <c r="C113" s="57"/>
      <c r="D113" s="57"/>
      <c r="E113" s="57"/>
      <c r="F113" s="57"/>
      <c r="G113" s="57"/>
      <c r="H113" s="57"/>
      <c r="I113" s="57"/>
      <c r="J113" s="57"/>
      <c r="K113" s="57"/>
      <c r="L113" s="57"/>
      <c r="M113" s="57"/>
      <c r="N113" s="57"/>
      <c r="O113" s="57"/>
      <c r="P113" s="57"/>
      <c r="Q113" s="57"/>
    </row>
    <row r="114" spans="1:18" x14ac:dyDescent="0.3">
      <c r="A114" s="132"/>
      <c r="B114" s="54"/>
      <c r="C114" s="54"/>
      <c r="D114" s="54"/>
      <c r="E114" s="54"/>
      <c r="F114" s="54"/>
      <c r="G114" s="54"/>
      <c r="H114" s="54"/>
      <c r="I114" s="54"/>
      <c r="J114" s="54"/>
      <c r="K114" s="54"/>
      <c r="L114" s="54"/>
      <c r="M114" s="54"/>
      <c r="N114" s="54"/>
      <c r="O114" s="54"/>
      <c r="P114" s="54"/>
      <c r="Q114" s="54"/>
    </row>
    <row r="115" spans="1:18" x14ac:dyDescent="0.3">
      <c r="A115" s="217" t="s">
        <v>80</v>
      </c>
      <c r="B115" s="234" t="s">
        <v>119</v>
      </c>
      <c r="C115" s="234"/>
      <c r="D115" s="234"/>
      <c r="E115" s="234"/>
      <c r="F115" s="234"/>
      <c r="G115" s="234"/>
      <c r="H115" s="234"/>
      <c r="I115" s="237"/>
      <c r="J115" s="233"/>
      <c r="K115" s="233"/>
    </row>
    <row r="116" spans="1:18" x14ac:dyDescent="0.3">
      <c r="A116" s="125">
        <v>1</v>
      </c>
      <c r="B116" s="233" t="s">
        <v>450</v>
      </c>
      <c r="C116" s="233"/>
      <c r="D116" s="233"/>
      <c r="E116" s="233"/>
      <c r="F116" s="233"/>
      <c r="G116" s="233"/>
      <c r="H116" s="233"/>
      <c r="I116" s="246"/>
      <c r="J116" s="233"/>
      <c r="K116" s="233"/>
      <c r="L116" s="230"/>
    </row>
    <row r="117" spans="1:18" x14ac:dyDescent="0.3">
      <c r="A117" s="214" t="s">
        <v>760</v>
      </c>
      <c r="B117" s="233" t="s">
        <v>389</v>
      </c>
      <c r="C117" s="233"/>
      <c r="D117" s="233"/>
      <c r="E117" s="233"/>
      <c r="F117" s="233"/>
      <c r="G117" s="233"/>
      <c r="H117" s="233"/>
      <c r="I117" s="246"/>
      <c r="J117" s="233"/>
      <c r="K117" s="233"/>
      <c r="L117" s="230"/>
    </row>
    <row r="118" spans="1:18" x14ac:dyDescent="0.3">
      <c r="A118" s="264"/>
      <c r="B118" s="182"/>
      <c r="C118" s="182"/>
      <c r="D118" s="182"/>
      <c r="E118" s="182"/>
      <c r="F118" s="182"/>
      <c r="G118" s="182"/>
      <c r="H118" s="182"/>
      <c r="I118" s="252"/>
      <c r="J118" s="233"/>
      <c r="K118" s="233"/>
    </row>
    <row r="119" spans="1:18" x14ac:dyDescent="0.3">
      <c r="A119" s="58" t="s">
        <v>48</v>
      </c>
      <c r="B119" s="58" t="s">
        <v>111</v>
      </c>
      <c r="C119" s="196" t="s">
        <v>291</v>
      </c>
      <c r="D119" s="198"/>
      <c r="E119" s="58" t="s">
        <v>52</v>
      </c>
      <c r="F119" s="58" t="s">
        <v>59</v>
      </c>
      <c r="G119" s="58" t="s">
        <v>50</v>
      </c>
      <c r="H119" s="58" t="s">
        <v>51</v>
      </c>
      <c r="I119" s="58" t="s">
        <v>296</v>
      </c>
      <c r="J119" s="239"/>
      <c r="K119" s="54"/>
      <c r="L119" s="54"/>
      <c r="M119" s="239"/>
      <c r="N119" s="239"/>
      <c r="O119" s="239"/>
    </row>
    <row r="120" spans="1:18" x14ac:dyDescent="0.3">
      <c r="A120" s="59"/>
      <c r="B120" s="59"/>
      <c r="C120" s="189"/>
      <c r="D120" s="190"/>
      <c r="E120" s="59" t="s">
        <v>54</v>
      </c>
      <c r="F120" s="59" t="s">
        <v>60</v>
      </c>
      <c r="G120" s="59"/>
      <c r="H120" s="59"/>
      <c r="I120" s="59" t="s">
        <v>310</v>
      </c>
      <c r="J120" s="239"/>
      <c r="K120" s="54"/>
      <c r="L120" s="54"/>
      <c r="M120" s="239"/>
      <c r="N120" s="239"/>
      <c r="O120" s="239"/>
    </row>
    <row r="121" spans="1:18" x14ac:dyDescent="0.3">
      <c r="A121" s="60"/>
      <c r="B121" s="60"/>
      <c r="C121" s="191"/>
      <c r="D121" s="192"/>
      <c r="E121" s="60"/>
      <c r="F121" s="60"/>
      <c r="G121" s="60"/>
      <c r="H121" s="60"/>
      <c r="I121" s="60" t="s">
        <v>297</v>
      </c>
      <c r="J121" s="239"/>
      <c r="K121" s="54"/>
      <c r="L121" s="54"/>
      <c r="M121" s="239"/>
      <c r="N121" s="239"/>
      <c r="O121" s="239"/>
    </row>
    <row r="122" spans="1:18" x14ac:dyDescent="0.3">
      <c r="A122" s="61">
        <v>1</v>
      </c>
      <c r="B122" s="90"/>
      <c r="C122" s="397"/>
      <c r="D122" s="398"/>
      <c r="E122" s="90"/>
      <c r="F122" s="90"/>
      <c r="G122" s="90"/>
      <c r="H122" s="90"/>
      <c r="I122" s="90"/>
      <c r="J122" s="239"/>
      <c r="K122" s="54"/>
      <c r="L122" s="54"/>
      <c r="M122" s="239"/>
      <c r="N122" s="239"/>
      <c r="O122" s="239"/>
    </row>
    <row r="123" spans="1:18" x14ac:dyDescent="0.3">
      <c r="A123" s="61">
        <v>2</v>
      </c>
      <c r="B123" s="90"/>
      <c r="C123" s="397"/>
      <c r="D123" s="398"/>
      <c r="E123" s="90"/>
      <c r="F123" s="90"/>
      <c r="G123" s="90"/>
      <c r="H123" s="90"/>
      <c r="I123" s="90"/>
      <c r="J123" s="239"/>
      <c r="K123" s="54"/>
      <c r="L123" s="54"/>
      <c r="M123" s="239"/>
      <c r="N123" s="239"/>
      <c r="O123" s="239"/>
    </row>
    <row r="124" spans="1:18" x14ac:dyDescent="0.3">
      <c r="A124" s="61">
        <v>3</v>
      </c>
      <c r="B124" s="90"/>
      <c r="C124" s="397"/>
      <c r="D124" s="398"/>
      <c r="E124" s="90"/>
      <c r="F124" s="90"/>
      <c r="G124" s="90"/>
      <c r="H124" s="90"/>
      <c r="I124" s="90"/>
      <c r="J124" s="239"/>
      <c r="K124" s="54"/>
      <c r="L124" s="54"/>
      <c r="M124" s="239"/>
      <c r="N124" s="239"/>
      <c r="O124" s="239"/>
    </row>
    <row r="125" spans="1:18" x14ac:dyDescent="0.3">
      <c r="A125" s="61">
        <v>4</v>
      </c>
      <c r="B125" s="90"/>
      <c r="C125" s="397"/>
      <c r="D125" s="398"/>
      <c r="E125" s="90"/>
      <c r="F125" s="90"/>
      <c r="G125" s="90"/>
      <c r="H125" s="90"/>
      <c r="I125" s="90"/>
      <c r="J125" s="239"/>
      <c r="K125" s="54"/>
      <c r="L125" s="54"/>
      <c r="M125" s="239"/>
      <c r="N125" s="239"/>
      <c r="O125" s="239"/>
    </row>
    <row r="128" spans="1:18" ht="18" x14ac:dyDescent="0.35">
      <c r="A128" s="46" t="s">
        <v>447</v>
      </c>
      <c r="B128" s="48"/>
      <c r="C128" s="48"/>
      <c r="D128" s="48"/>
      <c r="E128" s="48"/>
      <c r="F128" s="46" t="s">
        <v>600</v>
      </c>
      <c r="G128" s="48"/>
      <c r="H128" s="48"/>
      <c r="I128" s="48"/>
      <c r="J128" s="48"/>
      <c r="K128" s="48"/>
      <c r="L128" s="48"/>
      <c r="M128" s="48"/>
      <c r="N128" s="48"/>
      <c r="O128" s="48"/>
      <c r="P128" s="48"/>
      <c r="Q128" s="48"/>
      <c r="R128" s="54"/>
    </row>
    <row r="130" spans="1:17" x14ac:dyDescent="0.3">
      <c r="A130" s="49" t="s">
        <v>284</v>
      </c>
      <c r="B130" s="50"/>
      <c r="C130" s="50"/>
      <c r="D130" s="50"/>
      <c r="E130" s="50"/>
      <c r="F130" s="50"/>
      <c r="G130" s="50"/>
      <c r="H130" s="50"/>
      <c r="I130" s="50"/>
      <c r="J130" s="50"/>
      <c r="K130" s="50"/>
      <c r="L130" s="73" t="s">
        <v>96</v>
      </c>
      <c r="M130" s="50"/>
      <c r="N130" s="50"/>
      <c r="O130" s="50"/>
      <c r="P130" s="50"/>
      <c r="Q130" s="50"/>
    </row>
    <row r="131" spans="1:17" x14ac:dyDescent="0.3">
      <c r="A131" s="51" t="s">
        <v>44</v>
      </c>
      <c r="B131" s="52" t="s">
        <v>72</v>
      </c>
      <c r="C131" s="52"/>
      <c r="D131" s="52"/>
      <c r="E131" s="52"/>
      <c r="F131" s="52"/>
      <c r="G131" s="52"/>
      <c r="H131" s="52"/>
      <c r="I131" s="52"/>
      <c r="J131" s="52"/>
      <c r="K131" s="52"/>
      <c r="L131" s="432"/>
      <c r="M131" s="433"/>
      <c r="N131" s="433"/>
      <c r="O131" s="433"/>
      <c r="P131" s="433"/>
      <c r="Q131" s="434"/>
    </row>
    <row r="132" spans="1:17" x14ac:dyDescent="0.3">
      <c r="A132" s="53" t="s">
        <v>45</v>
      </c>
      <c r="B132" s="54" t="s">
        <v>637</v>
      </c>
      <c r="C132" s="54"/>
      <c r="D132" s="54"/>
      <c r="E132" s="54"/>
      <c r="F132" s="54"/>
      <c r="G132" s="54"/>
      <c r="H132" s="54"/>
      <c r="I132" s="54"/>
      <c r="J132" s="54"/>
      <c r="K132" s="54"/>
      <c r="L132" s="435"/>
      <c r="M132" s="436"/>
      <c r="N132" s="436"/>
      <c r="O132" s="436"/>
      <c r="P132" s="436"/>
      <c r="Q132" s="437"/>
    </row>
    <row r="133" spans="1:17" x14ac:dyDescent="0.3">
      <c r="A133" s="53"/>
      <c r="B133" s="54" t="s">
        <v>451</v>
      </c>
      <c r="C133" s="54"/>
      <c r="D133" s="54"/>
      <c r="E133" s="54"/>
      <c r="F133" s="54"/>
      <c r="G133" s="54"/>
      <c r="H133" s="54"/>
      <c r="I133" s="54"/>
      <c r="J133" s="54"/>
      <c r="K133" s="54"/>
      <c r="L133" s="435"/>
      <c r="M133" s="436"/>
      <c r="N133" s="436"/>
      <c r="O133" s="436"/>
      <c r="P133" s="436"/>
      <c r="Q133" s="437"/>
    </row>
    <row r="134" spans="1:17" x14ac:dyDescent="0.3">
      <c r="A134" s="53"/>
      <c r="B134" s="54" t="s">
        <v>645</v>
      </c>
      <c r="C134" s="54"/>
      <c r="D134" s="54"/>
      <c r="E134" s="54"/>
      <c r="F134" s="54"/>
      <c r="G134" s="54"/>
      <c r="H134" s="54"/>
      <c r="I134" s="54"/>
      <c r="J134" s="54"/>
      <c r="K134" s="54"/>
      <c r="L134" s="435"/>
      <c r="M134" s="436"/>
      <c r="N134" s="436"/>
      <c r="O134" s="436"/>
      <c r="P134" s="436"/>
      <c r="Q134" s="437"/>
    </row>
    <row r="135" spans="1:17" x14ac:dyDescent="0.3">
      <c r="A135" s="53" t="s">
        <v>46</v>
      </c>
      <c r="B135" s="54" t="s">
        <v>647</v>
      </c>
      <c r="C135" s="54"/>
      <c r="D135" s="54"/>
      <c r="E135" s="54"/>
      <c r="F135" s="54"/>
      <c r="G135" s="54"/>
      <c r="H135" s="54"/>
      <c r="I135" s="54"/>
      <c r="J135" s="54"/>
      <c r="K135" s="54"/>
      <c r="L135" s="435"/>
      <c r="M135" s="436"/>
      <c r="N135" s="436"/>
      <c r="O135" s="436"/>
      <c r="P135" s="436"/>
      <c r="Q135" s="437"/>
    </row>
    <row r="136" spans="1:17" x14ac:dyDescent="0.3">
      <c r="A136" s="53"/>
      <c r="B136" s="54" t="s">
        <v>367</v>
      </c>
      <c r="C136" s="54"/>
      <c r="D136" s="54"/>
      <c r="E136" s="54"/>
      <c r="F136" s="54"/>
      <c r="G136" s="54"/>
      <c r="H136" s="54"/>
      <c r="I136" s="54"/>
      <c r="J136" s="54"/>
      <c r="K136" s="54"/>
      <c r="L136" s="435"/>
      <c r="M136" s="436"/>
      <c r="N136" s="436"/>
      <c r="O136" s="436"/>
      <c r="P136" s="436"/>
      <c r="Q136" s="437"/>
    </row>
    <row r="137" spans="1:17" x14ac:dyDescent="0.3">
      <c r="A137" s="53"/>
      <c r="B137" s="54" t="s">
        <v>369</v>
      </c>
      <c r="C137" s="54"/>
      <c r="D137" s="54"/>
      <c r="E137" s="54"/>
      <c r="F137" s="54"/>
      <c r="G137" s="54"/>
      <c r="H137" s="54"/>
      <c r="I137" s="54"/>
      <c r="J137" s="54"/>
      <c r="K137" s="54"/>
      <c r="L137" s="435"/>
      <c r="M137" s="436"/>
      <c r="N137" s="436"/>
      <c r="O137" s="436"/>
      <c r="P137" s="436"/>
      <c r="Q137" s="437"/>
    </row>
    <row r="138" spans="1:17" x14ac:dyDescent="0.3">
      <c r="A138" s="53"/>
      <c r="B138" s="54" t="s">
        <v>543</v>
      </c>
      <c r="C138" s="54"/>
      <c r="D138" s="54"/>
      <c r="E138" s="54"/>
      <c r="F138" s="54"/>
      <c r="G138" s="54"/>
      <c r="H138" s="54"/>
      <c r="I138" s="54"/>
      <c r="J138" s="54"/>
      <c r="K138" s="54"/>
      <c r="L138" s="435"/>
      <c r="M138" s="436"/>
      <c r="N138" s="436"/>
      <c r="O138" s="436"/>
      <c r="P138" s="436"/>
      <c r="Q138" s="437"/>
    </row>
    <row r="139" spans="1:17" x14ac:dyDescent="0.3">
      <c r="A139" s="53"/>
      <c r="B139" s="70" t="s">
        <v>648</v>
      </c>
      <c r="C139" s="54"/>
      <c r="D139" s="54"/>
      <c r="E139" s="54"/>
      <c r="F139" s="54"/>
      <c r="G139" s="54"/>
      <c r="H139" s="54"/>
      <c r="I139" s="54"/>
      <c r="J139" s="54"/>
      <c r="K139" s="54"/>
      <c r="L139" s="435"/>
      <c r="M139" s="436"/>
      <c r="N139" s="436"/>
      <c r="O139" s="436"/>
      <c r="P139" s="436"/>
      <c r="Q139" s="437"/>
    </row>
    <row r="140" spans="1:17" x14ac:dyDescent="0.3">
      <c r="A140" s="53"/>
      <c r="B140" s="54" t="s">
        <v>158</v>
      </c>
      <c r="C140" s="54"/>
      <c r="D140" s="54"/>
      <c r="E140" s="54"/>
      <c r="F140" s="54"/>
      <c r="G140" s="54"/>
      <c r="H140" s="54"/>
      <c r="I140" s="54"/>
      <c r="J140" s="54"/>
      <c r="K140" s="54"/>
      <c r="L140" s="435"/>
      <c r="M140" s="436"/>
      <c r="N140" s="436"/>
      <c r="O140" s="436"/>
      <c r="P140" s="436"/>
      <c r="Q140" s="437"/>
    </row>
    <row r="141" spans="1:17" x14ac:dyDescent="0.3">
      <c r="A141" s="53"/>
      <c r="B141" s="54" t="s">
        <v>646</v>
      </c>
      <c r="C141" s="54"/>
      <c r="D141" s="54"/>
      <c r="E141" s="54"/>
      <c r="F141" s="54"/>
      <c r="G141" s="54"/>
      <c r="H141" s="54"/>
      <c r="I141" s="54"/>
      <c r="J141" s="54"/>
      <c r="K141" s="54"/>
      <c r="L141" s="435"/>
      <c r="M141" s="436"/>
      <c r="N141" s="436"/>
      <c r="O141" s="436"/>
      <c r="P141" s="436"/>
      <c r="Q141" s="437"/>
    </row>
    <row r="142" spans="1:17" x14ac:dyDescent="0.3">
      <c r="A142" s="53"/>
      <c r="B142" s="327" t="s">
        <v>544</v>
      </c>
      <c r="C142" s="54"/>
      <c r="D142" s="54"/>
      <c r="E142" s="54"/>
      <c r="F142" s="54"/>
      <c r="G142" s="54"/>
      <c r="H142" s="54"/>
      <c r="I142" s="54"/>
      <c r="J142" s="54"/>
      <c r="K142" s="54"/>
      <c r="L142" s="435"/>
      <c r="M142" s="436"/>
      <c r="N142" s="436"/>
      <c r="O142" s="436"/>
      <c r="P142" s="436"/>
      <c r="Q142" s="437"/>
    </row>
    <row r="143" spans="1:17" x14ac:dyDescent="0.3">
      <c r="A143" s="53"/>
      <c r="B143" s="54" t="s">
        <v>643</v>
      </c>
      <c r="C143" s="54"/>
      <c r="D143" s="54"/>
      <c r="E143" s="54"/>
      <c r="F143" s="54"/>
      <c r="G143" s="54"/>
      <c r="H143" s="54"/>
      <c r="I143" s="54"/>
      <c r="J143" s="54"/>
      <c r="K143" s="54"/>
      <c r="L143" s="435"/>
      <c r="M143" s="436"/>
      <c r="N143" s="436"/>
      <c r="O143" s="436"/>
      <c r="P143" s="436"/>
      <c r="Q143" s="437"/>
    </row>
    <row r="144" spans="1:17" x14ac:dyDescent="0.3">
      <c r="A144" s="53"/>
      <c r="B144" s="54" t="s">
        <v>564</v>
      </c>
      <c r="C144" s="54"/>
      <c r="D144" s="54"/>
      <c r="E144" s="54"/>
      <c r="F144" s="54"/>
      <c r="G144" s="54"/>
      <c r="H144" s="54"/>
      <c r="I144" s="54"/>
      <c r="J144" s="54"/>
      <c r="K144" s="54"/>
      <c r="L144" s="435"/>
      <c r="M144" s="436"/>
      <c r="N144" s="436"/>
      <c r="O144" s="436"/>
      <c r="P144" s="436"/>
      <c r="Q144" s="437"/>
    </row>
    <row r="145" spans="1:17" x14ac:dyDescent="0.3">
      <c r="A145" s="53"/>
      <c r="B145" s="70" t="s">
        <v>372</v>
      </c>
      <c r="C145" s="54"/>
      <c r="D145" s="54"/>
      <c r="E145" s="54"/>
      <c r="F145" s="54"/>
      <c r="G145" s="54"/>
      <c r="H145" s="54"/>
      <c r="I145" s="54"/>
      <c r="J145" s="54"/>
      <c r="K145" s="54"/>
      <c r="L145" s="435"/>
      <c r="M145" s="436"/>
      <c r="N145" s="436"/>
      <c r="O145" s="436"/>
      <c r="P145" s="436"/>
      <c r="Q145" s="437"/>
    </row>
    <row r="146" spans="1:17" x14ac:dyDescent="0.3">
      <c r="A146" s="53"/>
      <c r="B146" s="54" t="s">
        <v>545</v>
      </c>
      <c r="C146" s="54"/>
      <c r="D146" s="54"/>
      <c r="E146" s="54"/>
      <c r="F146" s="54"/>
      <c r="G146" s="54"/>
      <c r="H146" s="54"/>
      <c r="I146" s="54"/>
      <c r="J146" s="54"/>
      <c r="K146" s="54"/>
      <c r="L146" s="435"/>
      <c r="M146" s="436"/>
      <c r="N146" s="436"/>
      <c r="O146" s="436"/>
      <c r="P146" s="436"/>
      <c r="Q146" s="437"/>
    </row>
    <row r="147" spans="1:17" x14ac:dyDescent="0.3">
      <c r="A147" s="53"/>
      <c r="B147" s="70" t="s">
        <v>650</v>
      </c>
      <c r="C147" s="54"/>
      <c r="D147" s="54"/>
      <c r="E147" s="54"/>
      <c r="F147" s="54"/>
      <c r="G147" s="54"/>
      <c r="H147" s="54"/>
      <c r="I147" s="54"/>
      <c r="J147" s="54"/>
      <c r="K147" s="54"/>
      <c r="L147" s="435"/>
      <c r="M147" s="436"/>
      <c r="N147" s="436"/>
      <c r="O147" s="436"/>
      <c r="P147" s="436"/>
      <c r="Q147" s="437"/>
    </row>
    <row r="148" spans="1:17" x14ac:dyDescent="0.3">
      <c r="A148" s="53"/>
      <c r="B148" s="54" t="s">
        <v>373</v>
      </c>
      <c r="C148" s="54"/>
      <c r="D148" s="54"/>
      <c r="E148" s="54"/>
      <c r="F148" s="54"/>
      <c r="G148" s="54"/>
      <c r="H148" s="54"/>
      <c r="I148" s="54"/>
      <c r="J148" s="54"/>
      <c r="K148" s="54"/>
      <c r="L148" s="435"/>
      <c r="M148" s="436"/>
      <c r="N148" s="436"/>
      <c r="O148" s="436"/>
      <c r="P148" s="436"/>
      <c r="Q148" s="437"/>
    </row>
    <row r="149" spans="1:17" x14ac:dyDescent="0.3">
      <c r="A149" s="53"/>
      <c r="B149" s="54" t="s">
        <v>374</v>
      </c>
      <c r="C149" s="54"/>
      <c r="D149" s="54"/>
      <c r="E149" s="54"/>
      <c r="F149" s="54"/>
      <c r="G149" s="54"/>
      <c r="H149" s="54"/>
      <c r="I149" s="54"/>
      <c r="J149" s="54"/>
      <c r="K149" s="54"/>
      <c r="L149" s="435"/>
      <c r="M149" s="436"/>
      <c r="N149" s="436"/>
      <c r="O149" s="436"/>
      <c r="P149" s="436"/>
      <c r="Q149" s="437"/>
    </row>
    <row r="150" spans="1:17" x14ac:dyDescent="0.3">
      <c r="A150" s="53"/>
      <c r="B150" s="54" t="s">
        <v>649</v>
      </c>
      <c r="C150" s="54"/>
      <c r="D150" s="54"/>
      <c r="E150" s="54"/>
      <c r="F150" s="54"/>
      <c r="G150" s="54"/>
      <c r="H150" s="54"/>
      <c r="I150" s="54"/>
      <c r="J150" s="54"/>
      <c r="K150" s="54"/>
      <c r="L150" s="435"/>
      <c r="M150" s="436"/>
      <c r="N150" s="436"/>
      <c r="O150" s="436"/>
      <c r="P150" s="436"/>
      <c r="Q150" s="437"/>
    </row>
    <row r="151" spans="1:17" x14ac:dyDescent="0.3">
      <c r="A151" s="53" t="s">
        <v>47</v>
      </c>
      <c r="B151" s="184" t="s">
        <v>652</v>
      </c>
      <c r="C151" s="54"/>
      <c r="D151" s="54"/>
      <c r="E151" s="54"/>
      <c r="F151" s="54"/>
      <c r="G151" s="54"/>
      <c r="H151" s="54"/>
      <c r="I151" s="54"/>
      <c r="J151" s="54"/>
      <c r="K151" s="54"/>
      <c r="L151" s="435"/>
      <c r="M151" s="436"/>
      <c r="N151" s="436"/>
      <c r="O151" s="436"/>
      <c r="P151" s="436"/>
      <c r="Q151" s="437"/>
    </row>
    <row r="152" spans="1:17" x14ac:dyDescent="0.3">
      <c r="A152" s="53"/>
      <c r="B152" s="54" t="s">
        <v>653</v>
      </c>
      <c r="C152" s="54"/>
      <c r="D152" s="54"/>
      <c r="E152" s="54"/>
      <c r="F152" s="54"/>
      <c r="G152" s="54"/>
      <c r="H152" s="54"/>
      <c r="I152" s="54"/>
      <c r="J152" s="54"/>
      <c r="K152" s="54"/>
      <c r="L152" s="435"/>
      <c r="M152" s="436"/>
      <c r="N152" s="436"/>
      <c r="O152" s="436"/>
      <c r="P152" s="436"/>
      <c r="Q152" s="437"/>
    </row>
    <row r="153" spans="1:17" x14ac:dyDescent="0.3">
      <c r="A153" s="53"/>
      <c r="B153" s="54" t="s">
        <v>654</v>
      </c>
      <c r="C153" s="54"/>
      <c r="D153" s="54"/>
      <c r="E153" s="54"/>
      <c r="F153" s="54"/>
      <c r="G153" s="54"/>
      <c r="H153" s="54"/>
      <c r="I153" s="54"/>
      <c r="J153" s="54"/>
      <c r="K153" s="54"/>
      <c r="L153" s="435"/>
      <c r="M153" s="436"/>
      <c r="N153" s="436"/>
      <c r="O153" s="436"/>
      <c r="P153" s="436"/>
      <c r="Q153" s="437"/>
    </row>
    <row r="154" spans="1:17" x14ac:dyDescent="0.3">
      <c r="A154" s="53"/>
      <c r="B154" s="184" t="s">
        <v>655</v>
      </c>
      <c r="C154" s="54"/>
      <c r="D154" s="54"/>
      <c r="E154" s="54"/>
      <c r="F154" s="54"/>
      <c r="G154" s="54"/>
      <c r="H154" s="54"/>
      <c r="I154" s="54"/>
      <c r="J154" s="54"/>
      <c r="K154" s="54"/>
      <c r="L154" s="435"/>
      <c r="M154" s="436"/>
      <c r="N154" s="436"/>
      <c r="O154" s="436"/>
      <c r="P154" s="436"/>
      <c r="Q154" s="437"/>
    </row>
    <row r="155" spans="1:17" x14ac:dyDescent="0.3">
      <c r="A155" s="53"/>
      <c r="B155" s="54" t="s">
        <v>656</v>
      </c>
      <c r="C155" s="54"/>
      <c r="D155" s="54"/>
      <c r="E155" s="54"/>
      <c r="F155" s="54"/>
      <c r="G155" s="54"/>
      <c r="H155" s="54"/>
      <c r="I155" s="54"/>
      <c r="J155" s="54"/>
      <c r="K155" s="54"/>
      <c r="L155" s="435"/>
      <c r="M155" s="436"/>
      <c r="N155" s="436"/>
      <c r="O155" s="436"/>
      <c r="P155" s="436"/>
      <c r="Q155" s="437"/>
    </row>
    <row r="156" spans="1:17" x14ac:dyDescent="0.3">
      <c r="A156" s="53"/>
      <c r="B156" s="54" t="s">
        <v>651</v>
      </c>
      <c r="C156" s="54"/>
      <c r="D156" s="54"/>
      <c r="E156" s="54"/>
      <c r="F156" s="54"/>
      <c r="G156" s="54"/>
      <c r="H156" s="54"/>
      <c r="I156" s="54"/>
      <c r="J156" s="54"/>
      <c r="K156" s="54"/>
      <c r="L156" s="435"/>
      <c r="M156" s="436"/>
      <c r="N156" s="436"/>
      <c r="O156" s="436"/>
      <c r="P156" s="436"/>
      <c r="Q156" s="437"/>
    </row>
    <row r="157" spans="1:17" x14ac:dyDescent="0.3">
      <c r="A157" s="53"/>
      <c r="B157" s="54" t="s">
        <v>657</v>
      </c>
      <c r="C157" s="54"/>
      <c r="D157" s="54"/>
      <c r="E157" s="54"/>
      <c r="F157" s="54"/>
      <c r="G157" s="54"/>
      <c r="H157" s="54"/>
      <c r="I157" s="54"/>
      <c r="J157" s="54"/>
      <c r="K157" s="54"/>
      <c r="L157" s="435"/>
      <c r="M157" s="436"/>
      <c r="N157" s="436"/>
      <c r="O157" s="436"/>
      <c r="P157" s="436"/>
      <c r="Q157" s="437"/>
    </row>
    <row r="158" spans="1:17" x14ac:dyDescent="0.3">
      <c r="A158" s="53"/>
      <c r="B158" s="54" t="s">
        <v>658</v>
      </c>
      <c r="C158" s="54"/>
      <c r="D158" s="54"/>
      <c r="E158" s="54"/>
      <c r="F158" s="54"/>
      <c r="G158" s="54"/>
      <c r="H158" s="54"/>
      <c r="I158" s="54"/>
      <c r="J158" s="54"/>
      <c r="K158" s="54"/>
      <c r="L158" s="435"/>
      <c r="M158" s="436"/>
      <c r="N158" s="436"/>
      <c r="O158" s="436"/>
      <c r="P158" s="436"/>
      <c r="Q158" s="437"/>
    </row>
    <row r="159" spans="1:17" x14ac:dyDescent="0.3">
      <c r="A159" s="78"/>
      <c r="B159" s="77"/>
      <c r="C159" s="77"/>
      <c r="D159" s="77"/>
      <c r="E159" s="77"/>
      <c r="F159" s="77"/>
      <c r="G159" s="77"/>
      <c r="H159" s="77"/>
      <c r="I159" s="77"/>
      <c r="J159" s="77"/>
      <c r="K159" s="77"/>
      <c r="L159" s="429"/>
      <c r="M159" s="430"/>
      <c r="N159" s="430"/>
      <c r="O159" s="430"/>
      <c r="P159" s="430"/>
      <c r="Q159" s="431"/>
    </row>
    <row r="160" spans="1:17" x14ac:dyDescent="0.3">
      <c r="A160" s="54"/>
      <c r="I160" s="47"/>
      <c r="J160" s="47"/>
      <c r="K160" s="47"/>
      <c r="L160" s="47"/>
      <c r="M160" s="47"/>
      <c r="N160" s="47"/>
      <c r="O160" s="47"/>
      <c r="P160" s="47"/>
      <c r="Q160" s="47"/>
    </row>
    <row r="161" spans="1:27" x14ac:dyDescent="0.3">
      <c r="A161" s="56" t="s">
        <v>390</v>
      </c>
      <c r="B161" s="57"/>
      <c r="C161" s="57"/>
      <c r="D161" s="57"/>
      <c r="E161" s="57"/>
      <c r="F161" s="57"/>
      <c r="G161" s="57"/>
      <c r="H161" s="57"/>
      <c r="I161" s="57"/>
      <c r="J161" s="57"/>
      <c r="K161" s="57"/>
      <c r="L161" s="57"/>
      <c r="M161" s="57"/>
      <c r="N161" s="57"/>
      <c r="O161" s="57"/>
      <c r="P161" s="57"/>
      <c r="Q161" s="57"/>
    </row>
    <row r="162" spans="1:27" x14ac:dyDescent="0.3">
      <c r="A162" s="132"/>
      <c r="B162" s="54"/>
      <c r="C162" s="54"/>
      <c r="D162" s="54"/>
      <c r="E162" s="54"/>
      <c r="F162" s="54"/>
      <c r="G162" s="54"/>
      <c r="H162" s="54"/>
      <c r="I162" s="54"/>
      <c r="J162" s="54"/>
      <c r="K162" s="54"/>
      <c r="L162" s="54"/>
      <c r="M162" s="54"/>
      <c r="N162" s="54"/>
      <c r="O162" s="54"/>
      <c r="P162" s="54"/>
      <c r="Q162" s="54"/>
    </row>
    <row r="163" spans="1:27" x14ac:dyDescent="0.3">
      <c r="A163" s="133" t="str">
        <f>IF(Oplysningsside!$B$15="","",Oplysningsside!$B$15)</f>
        <v>C bue</v>
      </c>
      <c r="B163" s="289" t="s">
        <v>484</v>
      </c>
      <c r="C163" s="234"/>
      <c r="D163" s="234"/>
      <c r="E163" s="234"/>
      <c r="F163" s="234"/>
      <c r="G163" s="234"/>
      <c r="H163" s="234"/>
      <c r="I163" s="234"/>
      <c r="J163" s="234"/>
      <c r="K163" s="234"/>
      <c r="L163" s="237"/>
      <c r="M163" s="188" t="s">
        <v>133</v>
      </c>
      <c r="N163" s="58" t="s">
        <v>133</v>
      </c>
      <c r="P163" s="133" t="str">
        <f>IF(Oplysningsside!$B$15="","",Oplysningsside!$B$15)</f>
        <v>C bue</v>
      </c>
      <c r="Q163" s="289" t="s">
        <v>484</v>
      </c>
      <c r="R163" s="234"/>
      <c r="S163" s="234"/>
      <c r="T163" s="234"/>
      <c r="U163" s="234"/>
      <c r="V163" s="234"/>
      <c r="W163" s="234"/>
      <c r="X163" s="234"/>
      <c r="Y163" s="234"/>
      <c r="Z163" s="234"/>
      <c r="AA163" s="237"/>
    </row>
    <row r="164" spans="1:27" x14ac:dyDescent="0.3">
      <c r="A164" s="114"/>
      <c r="B164" s="233" t="s">
        <v>298</v>
      </c>
      <c r="C164" s="233"/>
      <c r="D164" s="233"/>
      <c r="E164" s="233"/>
      <c r="F164" s="233"/>
      <c r="G164" s="233"/>
      <c r="H164" s="233"/>
      <c r="I164" s="54"/>
      <c r="J164" s="54"/>
      <c r="K164" s="54"/>
      <c r="L164" s="246"/>
      <c r="M164" s="59" t="s">
        <v>103</v>
      </c>
      <c r="N164" s="59" t="s">
        <v>481</v>
      </c>
      <c r="P164" s="114"/>
      <c r="Q164" s="233" t="s">
        <v>298</v>
      </c>
      <c r="R164" s="233"/>
      <c r="S164" s="233"/>
      <c r="T164" s="233"/>
      <c r="U164" s="233"/>
      <c r="V164" s="233"/>
      <c r="W164" s="233"/>
      <c r="X164" s="54"/>
      <c r="Y164" s="54"/>
      <c r="Z164" s="54"/>
      <c r="AA164" s="246"/>
    </row>
    <row r="165" spans="1:27" x14ac:dyDescent="0.3">
      <c r="A165" s="111"/>
      <c r="B165" s="233" t="str">
        <f>IF($A$163="","Filtrering [ mm Cu ]",IF($A$163="Mini C bue","Filtrering [mm Al]","Filtrering [mm Cu]"))</f>
        <v>Filtrering [mm Cu]</v>
      </c>
      <c r="C165" s="233"/>
      <c r="D165" s="233"/>
      <c r="E165" s="233"/>
      <c r="F165" s="233"/>
      <c r="G165" s="233"/>
      <c r="H165" s="233"/>
      <c r="I165" s="54"/>
      <c r="J165" s="274"/>
      <c r="K165" s="54"/>
      <c r="L165" s="246"/>
      <c r="M165" s="59" t="s">
        <v>104</v>
      </c>
      <c r="N165" s="59" t="s">
        <v>482</v>
      </c>
      <c r="P165" s="111"/>
      <c r="Q165" s="233" t="str">
        <f>IF($A$163="","Filtrering [ mm Cu ]",IF($A$163="Mini C bue","Filtrering [mm Al]","Filtrering [mm Cu]"))</f>
        <v>Filtrering [mm Cu]</v>
      </c>
      <c r="R165" s="233"/>
      <c r="S165" s="233"/>
      <c r="T165" s="233"/>
      <c r="U165" s="233"/>
      <c r="V165" s="233"/>
      <c r="W165" s="233"/>
      <c r="X165" s="54"/>
      <c r="Y165" s="274"/>
      <c r="Z165" s="54"/>
      <c r="AA165" s="246"/>
    </row>
    <row r="166" spans="1:27" x14ac:dyDescent="0.3">
      <c r="A166" s="114" t="s">
        <v>760</v>
      </c>
      <c r="B166" s="233" t="s">
        <v>389</v>
      </c>
      <c r="C166" s="233"/>
      <c r="D166" s="233"/>
      <c r="E166" s="233"/>
      <c r="F166" s="233"/>
      <c r="G166" s="233"/>
      <c r="H166" s="233"/>
      <c r="I166" s="54"/>
      <c r="J166" s="274"/>
      <c r="K166" s="54"/>
      <c r="L166" s="246"/>
      <c r="M166" s="59" t="s">
        <v>105</v>
      </c>
      <c r="N166" s="59" t="s">
        <v>105</v>
      </c>
      <c r="P166" s="114"/>
      <c r="Q166" s="233" t="s">
        <v>389</v>
      </c>
      <c r="R166" s="233"/>
      <c r="S166" s="233"/>
      <c r="T166" s="233"/>
      <c r="U166" s="233"/>
      <c r="V166" s="233"/>
      <c r="W166" s="233"/>
      <c r="X166" s="54"/>
      <c r="Y166" s="274"/>
      <c r="Z166" s="54"/>
      <c r="AA166" s="246"/>
    </row>
    <row r="167" spans="1:27" x14ac:dyDescent="0.3">
      <c r="A167" s="241"/>
      <c r="B167" s="233"/>
      <c r="C167" s="233"/>
      <c r="D167" s="233"/>
      <c r="E167" s="233"/>
      <c r="F167" s="233"/>
      <c r="G167" s="233"/>
      <c r="H167" s="233"/>
      <c r="I167" s="54"/>
      <c r="J167" s="274"/>
      <c r="K167" s="54"/>
      <c r="L167" s="246"/>
      <c r="M167" s="60"/>
      <c r="N167" s="60"/>
      <c r="P167" s="241"/>
      <c r="Q167" s="233"/>
      <c r="R167" s="233"/>
      <c r="S167" s="233"/>
      <c r="T167" s="233"/>
      <c r="U167" s="233"/>
      <c r="V167" s="233"/>
      <c r="W167" s="233"/>
      <c r="X167" s="54"/>
      <c r="Y167" s="274"/>
      <c r="Z167" s="54"/>
      <c r="AA167" s="246"/>
    </row>
    <row r="168" spans="1:27" x14ac:dyDescent="0.3">
      <c r="A168" s="213"/>
      <c r="B168" s="291" t="s">
        <v>498</v>
      </c>
      <c r="C168" s="182"/>
      <c r="D168" s="182"/>
      <c r="E168" s="182"/>
      <c r="F168" s="182"/>
      <c r="G168" s="182"/>
      <c r="H168" s="182"/>
      <c r="I168" s="182"/>
      <c r="J168" s="182"/>
      <c r="K168" s="182"/>
      <c r="L168" s="259" t="s">
        <v>466</v>
      </c>
      <c r="M168" s="76"/>
      <c r="N168" s="315"/>
      <c r="P168" s="213"/>
      <c r="Q168" s="26" t="s">
        <v>499</v>
      </c>
      <c r="R168" s="182"/>
      <c r="S168" s="182"/>
      <c r="T168" s="182"/>
      <c r="U168" s="182"/>
      <c r="V168" s="182"/>
      <c r="W168" s="182"/>
      <c r="X168" s="182"/>
      <c r="Y168" s="182"/>
      <c r="Z168" s="182"/>
      <c r="AA168" s="259"/>
    </row>
    <row r="169" spans="1:27" x14ac:dyDescent="0.3">
      <c r="A169" s="58" t="s">
        <v>48</v>
      </c>
      <c r="B169" s="58" t="s">
        <v>111</v>
      </c>
      <c r="C169" s="196" t="s">
        <v>291</v>
      </c>
      <c r="D169" s="198"/>
      <c r="E169" s="58" t="s">
        <v>52</v>
      </c>
      <c r="F169" s="58" t="s">
        <v>59</v>
      </c>
      <c r="G169" s="58" t="s">
        <v>50</v>
      </c>
      <c r="H169" s="58" t="s">
        <v>51</v>
      </c>
      <c r="I169" s="58" t="s">
        <v>78</v>
      </c>
      <c r="J169" s="58" t="s">
        <v>82</v>
      </c>
      <c r="K169" s="58" t="s">
        <v>67</v>
      </c>
      <c r="L169" s="58" t="s">
        <v>294</v>
      </c>
      <c r="M169" s="58" t="str">
        <f>IF(OR($A$163="",$I$172=""),"",IF($A$163="Mini C bue","Antal", ""))</f>
        <v/>
      </c>
      <c r="N169" s="58" t="str">
        <f>IF(OR($A$163="",$I$172=""),"",IF($A$163="Mini C bue","Afv.", ""))</f>
        <v/>
      </c>
      <c r="P169" s="58" t="s">
        <v>48</v>
      </c>
      <c r="Q169" s="58" t="s">
        <v>111</v>
      </c>
      <c r="R169" s="196" t="s">
        <v>291</v>
      </c>
      <c r="S169" s="198"/>
      <c r="T169" s="58" t="s">
        <v>52</v>
      </c>
      <c r="U169" s="58" t="s">
        <v>59</v>
      </c>
      <c r="V169" s="58" t="s">
        <v>50</v>
      </c>
      <c r="W169" s="58" t="s">
        <v>51</v>
      </c>
      <c r="X169" s="58" t="s">
        <v>78</v>
      </c>
      <c r="Y169" s="58" t="s">
        <v>82</v>
      </c>
      <c r="Z169" s="58" t="s">
        <v>67</v>
      </c>
      <c r="AA169" s="58" t="s">
        <v>294</v>
      </c>
    </row>
    <row r="170" spans="1:27" x14ac:dyDescent="0.3">
      <c r="A170" s="59"/>
      <c r="B170" s="59"/>
      <c r="C170" s="189"/>
      <c r="D170" s="190"/>
      <c r="E170" s="59" t="s">
        <v>54</v>
      </c>
      <c r="F170" s="59" t="s">
        <v>60</v>
      </c>
      <c r="G170" s="59"/>
      <c r="H170" s="59"/>
      <c r="I170" s="59" t="s">
        <v>81</v>
      </c>
      <c r="J170" s="59" t="s">
        <v>58</v>
      </c>
      <c r="K170" s="59"/>
      <c r="L170" s="59" t="s">
        <v>295</v>
      </c>
      <c r="M170" s="59" t="str">
        <f>IF(OR($A$163="",$I$172=""),"",IF($A$163="Mini C bue","lavkontrast", ""))</f>
        <v/>
      </c>
      <c r="N170" s="59" t="str">
        <f>IF(OR($A$163="",$I$172=""),"",IF($A$163="Mini C bue","antal", ""))</f>
        <v/>
      </c>
      <c r="P170" s="59"/>
      <c r="Q170" s="59"/>
      <c r="R170" s="189"/>
      <c r="S170" s="190"/>
      <c r="T170" s="59" t="s">
        <v>54</v>
      </c>
      <c r="U170" s="59" t="s">
        <v>60</v>
      </c>
      <c r="V170" s="59"/>
      <c r="W170" s="59"/>
      <c r="X170" s="59" t="s">
        <v>81</v>
      </c>
      <c r="Y170" s="59" t="s">
        <v>58</v>
      </c>
      <c r="Z170" s="59"/>
      <c r="AA170" s="59" t="s">
        <v>295</v>
      </c>
    </row>
    <row r="171" spans="1:27" x14ac:dyDescent="0.3">
      <c r="A171" s="60"/>
      <c r="B171" s="60"/>
      <c r="C171" s="191"/>
      <c r="D171" s="192"/>
      <c r="E171" s="60"/>
      <c r="F171" s="60"/>
      <c r="G171" s="60"/>
      <c r="H171" s="60"/>
      <c r="I171" s="60" t="s">
        <v>79</v>
      </c>
      <c r="J171" s="60"/>
      <c r="K171" s="179" t="s">
        <v>162</v>
      </c>
      <c r="L171" s="60" t="s">
        <v>109</v>
      </c>
      <c r="M171" s="60" t="str">
        <f>IF(OR($A$163="",$I$172=""),"",IF($A$163="Mini C bue","skiver", ""))</f>
        <v/>
      </c>
      <c r="N171" s="60" t="str">
        <f>IF(OR($A$163="",$I$172=""),"",IF($A$163="Mini C bue","skiver", ""))</f>
        <v/>
      </c>
      <c r="P171" s="60"/>
      <c r="Q171" s="60"/>
      <c r="R171" s="191"/>
      <c r="S171" s="192"/>
      <c r="T171" s="60"/>
      <c r="U171" s="60"/>
      <c r="V171" s="60"/>
      <c r="W171" s="60"/>
      <c r="X171" s="60" t="s">
        <v>79</v>
      </c>
      <c r="Y171" s="60"/>
      <c r="Z171" s="179" t="s">
        <v>162</v>
      </c>
      <c r="AA171" s="60" t="s">
        <v>109</v>
      </c>
    </row>
    <row r="172" spans="1:27" x14ac:dyDescent="0.3">
      <c r="A172" s="61">
        <v>1</v>
      </c>
      <c r="B172" s="90"/>
      <c r="C172" s="397"/>
      <c r="D172" s="398"/>
      <c r="E172" s="90"/>
      <c r="F172" s="90"/>
      <c r="G172" s="90"/>
      <c r="H172" s="90"/>
      <c r="I172" s="117"/>
      <c r="J172" s="181" t="str">
        <f>IF(OR($A$163="",$A$166="",I172="",I172&gt;18),"",IF($A$163="Mini C bue","",HLOOKUP($A$166,Data!$D$101:$H$119,I172+1,FALSE)))</f>
        <v/>
      </c>
      <c r="K172" s="104" t="str">
        <f>IF(OR(J172="",I172=""),"",IF(J172&gt;4,"IKKE OK","OK"))</f>
        <v/>
      </c>
      <c r="L172" s="90"/>
      <c r="M172" s="117"/>
      <c r="N172" s="314" t="str">
        <f>IF(OR($A$163="",$A$166="",I172="",I172&gt;18,M172=""),"",IF($A$163="Mini C bue",I172-M172,""))</f>
        <v/>
      </c>
      <c r="P172" s="61">
        <v>1</v>
      </c>
      <c r="Q172" s="90"/>
      <c r="R172" s="397"/>
      <c r="S172" s="398"/>
      <c r="T172" s="90"/>
      <c r="U172" s="90"/>
      <c r="V172" s="90"/>
      <c r="W172" s="90"/>
      <c r="X172" s="117"/>
      <c r="Y172" s="181" t="str">
        <f>IF(OR($A$163="",$A$166="",X172="",X172&gt;18),"",IF($A$163="Mini C bue","",HLOOKUP($A$166,Data!$D$101:$H$119,X172+1,FALSE)))</f>
        <v/>
      </c>
      <c r="Z172" s="104" t="str">
        <f>IF(OR(Y172="",X172=""),"",IF(Y172&gt;4,"IKKE OK","OK"))</f>
        <v/>
      </c>
      <c r="AA172" s="90"/>
    </row>
    <row r="173" spans="1:27" x14ac:dyDescent="0.3">
      <c r="A173" s="61">
        <v>2</v>
      </c>
      <c r="B173" s="90"/>
      <c r="C173" s="397"/>
      <c r="D173" s="398"/>
      <c r="E173" s="90"/>
      <c r="F173" s="90"/>
      <c r="G173" s="90"/>
      <c r="H173" s="90"/>
      <c r="I173" s="117"/>
      <c r="J173" s="181" t="str">
        <f>IF(OR($A$163="",$A$166="",I173="",I173&gt;18),"",IF($A$163="Mini C bue","",HLOOKUP($A$166,Data!$D$101:$H$119,I173+1,FALSE)))</f>
        <v/>
      </c>
      <c r="K173" s="104" t="str">
        <f t="shared" ref="K173:K175" si="5">IF(OR(J173="",I173=""),"",IF(J173&gt;4,"IKKE OK","OK"))</f>
        <v/>
      </c>
      <c r="L173" s="90"/>
      <c r="M173" s="117"/>
      <c r="N173" s="314" t="str">
        <f t="shared" ref="N173:N175" si="6">IF(OR($A$163="",$A$166="",I173="",I173&gt;18,M173=""),"",IF($A$163="Mini C bue",I173-M173,""))</f>
        <v/>
      </c>
      <c r="P173" s="61">
        <v>2</v>
      </c>
      <c r="Q173" s="90"/>
      <c r="R173" s="397"/>
      <c r="S173" s="398"/>
      <c r="T173" s="90"/>
      <c r="U173" s="90"/>
      <c r="V173" s="90"/>
      <c r="W173" s="90"/>
      <c r="X173" s="117"/>
      <c r="Y173" s="181" t="str">
        <f>IF(OR($A$163="",$A$166="",X173="",X173&gt;18),"",IF($A$163="Mini C bue","",HLOOKUP($A$166,Data!$D$101:$H$119,X173+1,FALSE)))</f>
        <v/>
      </c>
      <c r="Z173" s="104" t="str">
        <f t="shared" ref="Z173:Z175" si="7">IF(OR(Y173="",X173=""),"",IF(Y173&gt;4,"IKKE OK","OK"))</f>
        <v/>
      </c>
      <c r="AA173" s="90"/>
    </row>
    <row r="174" spans="1:27" x14ac:dyDescent="0.3">
      <c r="A174" s="61">
        <v>3</v>
      </c>
      <c r="B174" s="90"/>
      <c r="C174" s="397"/>
      <c r="D174" s="398"/>
      <c r="E174" s="90"/>
      <c r="F174" s="90"/>
      <c r="G174" s="90"/>
      <c r="H174" s="90"/>
      <c r="I174" s="117"/>
      <c r="J174" s="181" t="str">
        <f>IF(OR($A$163="",$A$166="",I174="",I174&gt;18),"",IF($A$163="Mini C bue","",HLOOKUP($A$166,Data!$D$101:$H$119,I174+1,FALSE)))</f>
        <v/>
      </c>
      <c r="K174" s="104" t="str">
        <f t="shared" ref="K174" si="8">IF(OR(J174="",I174=""),"",IF(J174&gt;4,"IKKE OK","OK"))</f>
        <v/>
      </c>
      <c r="L174" s="90"/>
      <c r="M174" s="117"/>
      <c r="N174" s="314" t="str">
        <f t="shared" si="6"/>
        <v/>
      </c>
      <c r="P174" s="61">
        <v>3</v>
      </c>
      <c r="Q174" s="90"/>
      <c r="R174" s="397"/>
      <c r="S174" s="398"/>
      <c r="T174" s="90"/>
      <c r="U174" s="90"/>
      <c r="V174" s="90"/>
      <c r="W174" s="90"/>
      <c r="X174" s="117"/>
      <c r="Y174" s="181" t="str">
        <f>IF(OR($A$163="",$A$166="",X174="",X174&gt;18),"",IF($A$163="Mini C bue","",HLOOKUP($A$166,Data!$D$101:$H$119,X174+1,FALSE)))</f>
        <v/>
      </c>
      <c r="Z174" s="104" t="str">
        <f t="shared" si="7"/>
        <v/>
      </c>
      <c r="AA174" s="90"/>
    </row>
    <row r="175" spans="1:27" x14ac:dyDescent="0.3">
      <c r="A175" s="61">
        <v>4</v>
      </c>
      <c r="B175" s="90"/>
      <c r="C175" s="397"/>
      <c r="D175" s="398"/>
      <c r="E175" s="90"/>
      <c r="F175" s="90"/>
      <c r="G175" s="90"/>
      <c r="H175" s="90"/>
      <c r="I175" s="117"/>
      <c r="J175" s="181" t="str">
        <f>IF(OR($A$163="",$A$166="",I175="",I175&gt;18),"",IF($A$163="Mini C bue","",HLOOKUP($A$166,Data!$D$101:$H$119,I175+1,FALSE)))</f>
        <v/>
      </c>
      <c r="K175" s="104" t="str">
        <f t="shared" si="5"/>
        <v/>
      </c>
      <c r="L175" s="90"/>
      <c r="M175" s="117"/>
      <c r="N175" s="314" t="str">
        <f t="shared" si="6"/>
        <v/>
      </c>
      <c r="P175" s="61">
        <v>4</v>
      </c>
      <c r="Q175" s="90"/>
      <c r="R175" s="397"/>
      <c r="S175" s="398"/>
      <c r="T175" s="90"/>
      <c r="U175" s="90"/>
      <c r="V175" s="90"/>
      <c r="W175" s="90"/>
      <c r="X175" s="117"/>
      <c r="Y175" s="181" t="str">
        <f>IF(OR($A$163="",$A$166="",X175="",X175&gt;18),"",IF($A$163="Mini C bue","",HLOOKUP($A$166,Data!$D$101:$H$119,X175+1,FALSE)))</f>
        <v/>
      </c>
      <c r="Z175" s="104" t="str">
        <f t="shared" si="7"/>
        <v/>
      </c>
      <c r="AA175" s="90"/>
    </row>
    <row r="176" spans="1:27" x14ac:dyDescent="0.3">
      <c r="A176" s="58" t="s">
        <v>48</v>
      </c>
      <c r="B176" s="58" t="s">
        <v>111</v>
      </c>
      <c r="C176" s="196" t="s">
        <v>292</v>
      </c>
      <c r="D176" s="198"/>
      <c r="E176" s="58" t="s">
        <v>53</v>
      </c>
      <c r="F176" s="58" t="s">
        <v>59</v>
      </c>
      <c r="G176" s="58" t="s">
        <v>50</v>
      </c>
      <c r="H176" s="58" t="s">
        <v>51</v>
      </c>
      <c r="I176" s="58" t="s">
        <v>78</v>
      </c>
      <c r="J176" s="58" t="s">
        <v>82</v>
      </c>
      <c r="K176" s="58" t="s">
        <v>67</v>
      </c>
      <c r="L176" s="58" t="s">
        <v>294</v>
      </c>
      <c r="M176" s="58" t="str">
        <f>IF(OR($A$163="",$I$172=""),"",IF($A$163="Mini C bue","Antal", ""))</f>
        <v/>
      </c>
      <c r="N176" s="58" t="str">
        <f>IF(OR($A$163="",$I$172=""),"",IF($A$163="Mini C bue","Antal", ""))</f>
        <v/>
      </c>
      <c r="P176" s="58" t="s">
        <v>48</v>
      </c>
      <c r="Q176" s="58" t="s">
        <v>111</v>
      </c>
      <c r="R176" s="196" t="s">
        <v>292</v>
      </c>
      <c r="S176" s="198"/>
      <c r="T176" s="58" t="s">
        <v>53</v>
      </c>
      <c r="U176" s="58" t="s">
        <v>59</v>
      </c>
      <c r="V176" s="58" t="s">
        <v>50</v>
      </c>
      <c r="W176" s="58" t="s">
        <v>51</v>
      </c>
      <c r="X176" s="58" t="s">
        <v>78</v>
      </c>
      <c r="Y176" s="58" t="s">
        <v>82</v>
      </c>
      <c r="Z176" s="58" t="s">
        <v>67</v>
      </c>
      <c r="AA176" s="58" t="s">
        <v>294</v>
      </c>
    </row>
    <row r="177" spans="1:27" x14ac:dyDescent="0.3">
      <c r="A177" s="59"/>
      <c r="B177" s="59"/>
      <c r="C177" s="189"/>
      <c r="D177" s="190"/>
      <c r="E177" s="59" t="s">
        <v>55</v>
      </c>
      <c r="F177" s="59" t="s">
        <v>60</v>
      </c>
      <c r="G177" s="59"/>
      <c r="H177" s="59"/>
      <c r="I177" s="59" t="s">
        <v>81</v>
      </c>
      <c r="J177" s="59" t="s">
        <v>58</v>
      </c>
      <c r="K177" s="59"/>
      <c r="L177" s="59" t="s">
        <v>295</v>
      </c>
      <c r="M177" s="59" t="str">
        <f>IF(OR($A$163="",$I$172=""),"",IF($A$163="Mini C bue","lavkontrast", ""))</f>
        <v/>
      </c>
      <c r="N177" s="59" t="str">
        <f>IF(OR($A$163="",$I$172=""),"",IF($A$163="Mini C bue","lavkontrast", ""))</f>
        <v/>
      </c>
      <c r="P177" s="59"/>
      <c r="Q177" s="59"/>
      <c r="R177" s="189"/>
      <c r="S177" s="190"/>
      <c r="T177" s="59" t="s">
        <v>55</v>
      </c>
      <c r="U177" s="59" t="s">
        <v>60</v>
      </c>
      <c r="V177" s="59"/>
      <c r="W177" s="59"/>
      <c r="X177" s="59" t="s">
        <v>81</v>
      </c>
      <c r="Y177" s="59" t="s">
        <v>58</v>
      </c>
      <c r="Z177" s="59"/>
      <c r="AA177" s="59" t="s">
        <v>295</v>
      </c>
    </row>
    <row r="178" spans="1:27" x14ac:dyDescent="0.3">
      <c r="A178" s="60"/>
      <c r="B178" s="60"/>
      <c r="C178" s="191"/>
      <c r="D178" s="192"/>
      <c r="E178" s="60"/>
      <c r="F178" s="60"/>
      <c r="G178" s="60"/>
      <c r="H178" s="60"/>
      <c r="I178" s="60" t="s">
        <v>79</v>
      </c>
      <c r="J178" s="60"/>
      <c r="K178" s="179" t="s">
        <v>163</v>
      </c>
      <c r="L178" s="60" t="s">
        <v>109</v>
      </c>
      <c r="M178" s="60" t="str">
        <f>IF(OR($A$163="",$I$172=""),"",IF($A$163="Mini C bue","skiver", ""))</f>
        <v/>
      </c>
      <c r="N178" s="60" t="str">
        <f>IF(OR($A$163="",$I$172=""),"",IF($A$163="Mini C bue","skiver", ""))</f>
        <v/>
      </c>
      <c r="P178" s="60"/>
      <c r="Q178" s="60"/>
      <c r="R178" s="191"/>
      <c r="S178" s="192"/>
      <c r="T178" s="60"/>
      <c r="U178" s="60"/>
      <c r="V178" s="60"/>
      <c r="W178" s="60"/>
      <c r="X178" s="60" t="s">
        <v>79</v>
      </c>
      <c r="Y178" s="60"/>
      <c r="Z178" s="179" t="s">
        <v>163</v>
      </c>
      <c r="AA178" s="60" t="s">
        <v>109</v>
      </c>
    </row>
    <row r="179" spans="1:27" x14ac:dyDescent="0.3">
      <c r="A179" s="61">
        <v>1</v>
      </c>
      <c r="B179" s="90"/>
      <c r="C179" s="397"/>
      <c r="D179" s="398"/>
      <c r="E179" s="90"/>
      <c r="F179" s="90"/>
      <c r="G179" s="90"/>
      <c r="H179" s="90"/>
      <c r="I179" s="117"/>
      <c r="J179" s="181" t="str">
        <f>IF(OR($A$163="",$A$166="",I179="",I179&gt;18),"",IF($A$163="Mini C bue","",HLOOKUP($A$166,Data!$D$101:$H$119,I179+1,FALSE)))</f>
        <v/>
      </c>
      <c r="K179" s="104" t="str">
        <f>IF(OR(J179="",I179=""),"",IF(J179&gt;2.7,"IKKE OK","OK"))</f>
        <v/>
      </c>
      <c r="L179" s="90"/>
      <c r="M179" s="117"/>
      <c r="N179" s="314" t="str">
        <f>IF(OR($A$163="",$A$166="",I179="",I179&gt;18,M179=""),"",IF($A$163="Mini C bue",I179-M179,""))</f>
        <v/>
      </c>
      <c r="P179" s="61">
        <v>1</v>
      </c>
      <c r="Q179" s="90"/>
      <c r="R179" s="397"/>
      <c r="S179" s="398"/>
      <c r="T179" s="90"/>
      <c r="U179" s="90"/>
      <c r="V179" s="90"/>
      <c r="W179" s="90"/>
      <c r="X179" s="117"/>
      <c r="Y179" s="181" t="str">
        <f>IF(OR($A$163="",$A$166="",X179="",X179&gt;18),"",IF($A$163="Mini C bue","",HLOOKUP($A$166,Data!$D$101:$H$119,X179+1,FALSE)))</f>
        <v/>
      </c>
      <c r="Z179" s="104" t="str">
        <f>IF(OR(Y179="",X179=""),"",IF(Y179&gt;2.7,"IKKE OK","OK"))</f>
        <v/>
      </c>
      <c r="AA179" s="90"/>
    </row>
    <row r="180" spans="1:27" x14ac:dyDescent="0.3">
      <c r="A180" s="61">
        <v>2</v>
      </c>
      <c r="B180" s="90"/>
      <c r="C180" s="397"/>
      <c r="D180" s="398"/>
      <c r="E180" s="90"/>
      <c r="F180" s="90"/>
      <c r="G180" s="90"/>
      <c r="H180" s="90"/>
      <c r="I180" s="117"/>
      <c r="J180" s="181" t="str">
        <f>IF(OR($A$163="",$A$166="",I180="",I180&gt;18),"",IF($A$163="Mini C bue","",HLOOKUP($A$166,Data!$D$101:$H$119,I180+1,FALSE)))</f>
        <v/>
      </c>
      <c r="K180" s="104" t="str">
        <f t="shared" ref="K180:K182" si="9">IF(OR(J180="",I180=""),"",IF(J180&gt;2.7,"IKKE OK","OK"))</f>
        <v/>
      </c>
      <c r="L180" s="90"/>
      <c r="M180" s="117"/>
      <c r="N180" s="314" t="str">
        <f t="shared" ref="N180:N182" si="10">IF(OR($A$163="",$A$166="",I180="",I180&gt;18,M180=""),"",IF($A$163="Mini C bue",I180-M180,""))</f>
        <v/>
      </c>
      <c r="P180" s="61">
        <v>2</v>
      </c>
      <c r="Q180" s="90"/>
      <c r="R180" s="397"/>
      <c r="S180" s="398"/>
      <c r="T180" s="90"/>
      <c r="U180" s="90"/>
      <c r="V180" s="90"/>
      <c r="W180" s="90"/>
      <c r="X180" s="117"/>
      <c r="Y180" s="181" t="str">
        <f>IF(OR($A$163="",$A$166="",X180="",X180&gt;18),"",IF($A$163="Mini C bue","",HLOOKUP($A$166,Data!$D$101:$H$119,X180+1,FALSE)))</f>
        <v/>
      </c>
      <c r="Z180" s="104" t="str">
        <f t="shared" ref="Z180:Z182" si="11">IF(OR(Y180="",X180=""),"",IF(Y180&gt;2.7,"IKKE OK","OK"))</f>
        <v/>
      </c>
      <c r="AA180" s="90"/>
    </row>
    <row r="181" spans="1:27" x14ac:dyDescent="0.3">
      <c r="A181" s="61">
        <v>3</v>
      </c>
      <c r="B181" s="90"/>
      <c r="C181" s="397"/>
      <c r="D181" s="398"/>
      <c r="E181" s="90"/>
      <c r="F181" s="90"/>
      <c r="G181" s="90"/>
      <c r="H181" s="90"/>
      <c r="I181" s="117"/>
      <c r="J181" s="181" t="str">
        <f>IF(OR($A$163="",$A$166="",I181="",I181&gt;18),"",IF($A$163="Mini C bue","",HLOOKUP($A$166,Data!$D$101:$H$119,I181+1,FALSE)))</f>
        <v/>
      </c>
      <c r="K181" s="104" t="str">
        <f t="shared" ref="K181" si="12">IF(OR(J181="",I181=""),"",IF(J181&gt;2.7,"IKKE OK","OK"))</f>
        <v/>
      </c>
      <c r="L181" s="90"/>
      <c r="M181" s="117"/>
      <c r="N181" s="314" t="str">
        <f t="shared" si="10"/>
        <v/>
      </c>
      <c r="P181" s="61">
        <v>3</v>
      </c>
      <c r="Q181" s="90"/>
      <c r="R181" s="397"/>
      <c r="S181" s="398"/>
      <c r="T181" s="90"/>
      <c r="U181" s="90"/>
      <c r="V181" s="90"/>
      <c r="W181" s="90"/>
      <c r="X181" s="117"/>
      <c r="Y181" s="181" t="str">
        <f>IF(OR($A$163="",$A$166="",X181="",X181&gt;18),"",IF($A$163="Mini C bue","",HLOOKUP($A$166,Data!$D$101:$H$119,X181+1,FALSE)))</f>
        <v/>
      </c>
      <c r="Z181" s="104" t="str">
        <f t="shared" si="11"/>
        <v/>
      </c>
      <c r="AA181" s="90"/>
    </row>
    <row r="182" spans="1:27" x14ac:dyDescent="0.3">
      <c r="A182" s="61">
        <v>4</v>
      </c>
      <c r="B182" s="90"/>
      <c r="C182" s="397"/>
      <c r="D182" s="398"/>
      <c r="E182" s="90"/>
      <c r="F182" s="90"/>
      <c r="G182" s="90"/>
      <c r="H182" s="90"/>
      <c r="I182" s="117"/>
      <c r="J182" s="181" t="str">
        <f>IF(OR($A$163="",$A$166="",I182="",I182&gt;18),"",IF($A$163="Mini C bue","",HLOOKUP($A$166,Data!$D$101:$H$119,I182+1,FALSE)))</f>
        <v/>
      </c>
      <c r="K182" s="104" t="str">
        <f t="shared" si="9"/>
        <v/>
      </c>
      <c r="L182" s="90"/>
      <c r="M182" s="117"/>
      <c r="N182" s="314" t="str">
        <f t="shared" si="10"/>
        <v/>
      </c>
      <c r="P182" s="61">
        <v>4</v>
      </c>
      <c r="Q182" s="90"/>
      <c r="R182" s="397"/>
      <c r="S182" s="398"/>
      <c r="T182" s="90"/>
      <c r="U182" s="90"/>
      <c r="V182" s="90"/>
      <c r="W182" s="90"/>
      <c r="X182" s="117"/>
      <c r="Y182" s="181" t="str">
        <f>IF(OR($A$163="",$A$166="",X182="",X182&gt;18),"",IF($A$163="Mini C bue","",HLOOKUP($A$166,Data!$D$101:$H$119,X182+1,FALSE)))</f>
        <v/>
      </c>
      <c r="Z182" s="104" t="str">
        <f t="shared" si="11"/>
        <v/>
      </c>
      <c r="AA182" s="90"/>
    </row>
    <row r="185" spans="1:27" ht="18" x14ac:dyDescent="0.35">
      <c r="A185" s="46" t="s">
        <v>448</v>
      </c>
      <c r="B185" s="48"/>
      <c r="C185" s="48"/>
      <c r="D185" s="48"/>
      <c r="E185" s="48"/>
      <c r="F185" s="46" t="s">
        <v>600</v>
      </c>
      <c r="G185" s="48"/>
      <c r="H185" s="48"/>
      <c r="I185" s="48"/>
      <c r="J185" s="48"/>
      <c r="K185" s="48"/>
      <c r="L185" s="48"/>
      <c r="M185" s="48"/>
      <c r="N185" s="48"/>
      <c r="O185" s="48"/>
      <c r="P185" s="48"/>
      <c r="Q185" s="48"/>
      <c r="R185" s="54"/>
    </row>
    <row r="187" spans="1:27" x14ac:dyDescent="0.3">
      <c r="A187" s="49" t="s">
        <v>285</v>
      </c>
      <c r="B187" s="50"/>
      <c r="C187" s="50"/>
      <c r="D187" s="50"/>
      <c r="E187" s="50"/>
      <c r="F187" s="50"/>
      <c r="G187" s="50"/>
      <c r="H187" s="50"/>
      <c r="I187" s="50"/>
      <c r="J187" s="50"/>
      <c r="K187" s="50"/>
      <c r="L187" s="73" t="s">
        <v>96</v>
      </c>
      <c r="M187" s="50"/>
      <c r="N187" s="50"/>
      <c r="O187" s="50"/>
      <c r="P187" s="50"/>
      <c r="Q187" s="50"/>
    </row>
    <row r="188" spans="1:27" x14ac:dyDescent="0.3">
      <c r="A188" s="51" t="s">
        <v>44</v>
      </c>
      <c r="B188" s="52" t="s">
        <v>72</v>
      </c>
      <c r="C188" s="52"/>
      <c r="D188" s="52"/>
      <c r="E188" s="52"/>
      <c r="F188" s="52"/>
      <c r="G188" s="52"/>
      <c r="H188" s="52"/>
      <c r="I188" s="52"/>
      <c r="J188" s="52"/>
      <c r="K188" s="52"/>
      <c r="L188" s="432"/>
      <c r="M188" s="433"/>
      <c r="N188" s="433"/>
      <c r="O188" s="433"/>
      <c r="P188" s="433"/>
      <c r="Q188" s="434"/>
    </row>
    <row r="189" spans="1:27" x14ac:dyDescent="0.3">
      <c r="A189" s="53" t="s">
        <v>45</v>
      </c>
      <c r="B189" s="54" t="s">
        <v>637</v>
      </c>
      <c r="C189" s="54"/>
      <c r="D189" s="54"/>
      <c r="E189" s="54"/>
      <c r="F189" s="54"/>
      <c r="G189" s="54"/>
      <c r="H189" s="54"/>
      <c r="I189" s="54"/>
      <c r="J189" s="54"/>
      <c r="K189" s="54"/>
      <c r="L189" s="435"/>
      <c r="M189" s="436"/>
      <c r="N189" s="436"/>
      <c r="O189" s="436"/>
      <c r="P189" s="436"/>
      <c r="Q189" s="437"/>
    </row>
    <row r="190" spans="1:27" x14ac:dyDescent="0.3">
      <c r="A190" s="53"/>
      <c r="B190" s="54" t="s">
        <v>375</v>
      </c>
      <c r="C190" s="54"/>
      <c r="D190" s="54"/>
      <c r="E190" s="54"/>
      <c r="F190" s="54"/>
      <c r="G190" s="54"/>
      <c r="H190" s="54"/>
      <c r="I190" s="54"/>
      <c r="J190" s="54"/>
      <c r="K190" s="54"/>
      <c r="L190" s="435"/>
      <c r="M190" s="436"/>
      <c r="N190" s="436"/>
      <c r="O190" s="436"/>
      <c r="P190" s="436"/>
      <c r="Q190" s="437"/>
    </row>
    <row r="191" spans="1:27" x14ac:dyDescent="0.3">
      <c r="A191" s="53" t="s">
        <v>46</v>
      </c>
      <c r="B191" s="26" t="s">
        <v>546</v>
      </c>
      <c r="C191" s="54"/>
      <c r="D191" s="54"/>
      <c r="E191" s="54"/>
      <c r="F191" s="54"/>
      <c r="G191" s="54"/>
      <c r="H191" s="54"/>
      <c r="I191" s="54"/>
      <c r="J191" s="54"/>
      <c r="K191" s="54"/>
      <c r="L191" s="435"/>
      <c r="M191" s="436"/>
      <c r="N191" s="436"/>
      <c r="O191" s="436"/>
      <c r="P191" s="436"/>
      <c r="Q191" s="437"/>
    </row>
    <row r="192" spans="1:27" x14ac:dyDescent="0.3">
      <c r="A192" s="53"/>
      <c r="B192" s="54" t="s">
        <v>548</v>
      </c>
      <c r="C192" s="54"/>
      <c r="D192" s="54"/>
      <c r="E192" s="54"/>
      <c r="F192" s="54"/>
      <c r="G192" s="54"/>
      <c r="H192" s="54"/>
      <c r="I192" s="54"/>
      <c r="J192" s="54"/>
      <c r="K192" s="54"/>
      <c r="L192" s="435"/>
      <c r="M192" s="436"/>
      <c r="N192" s="436"/>
      <c r="O192" s="436"/>
      <c r="P192" s="436"/>
      <c r="Q192" s="437"/>
    </row>
    <row r="193" spans="1:17" x14ac:dyDescent="0.3">
      <c r="A193" s="53"/>
      <c r="B193" s="54" t="s">
        <v>549</v>
      </c>
      <c r="C193" s="54"/>
      <c r="D193" s="54"/>
      <c r="E193" s="54"/>
      <c r="F193" s="54"/>
      <c r="G193" s="54"/>
      <c r="H193" s="54"/>
      <c r="I193" s="54"/>
      <c r="J193" s="54"/>
      <c r="K193" s="54"/>
      <c r="L193" s="435"/>
      <c r="M193" s="436"/>
      <c r="N193" s="436"/>
      <c r="O193" s="436"/>
      <c r="P193" s="436"/>
      <c r="Q193" s="437"/>
    </row>
    <row r="194" spans="1:17" x14ac:dyDescent="0.3">
      <c r="A194" s="53"/>
      <c r="B194" s="26" t="s">
        <v>547</v>
      </c>
      <c r="C194" s="54"/>
      <c r="D194" s="54"/>
      <c r="E194" s="54"/>
      <c r="F194" s="54"/>
      <c r="G194" s="54"/>
      <c r="H194" s="54"/>
      <c r="I194" s="54"/>
      <c r="J194" s="54"/>
      <c r="K194" s="54"/>
      <c r="L194" s="435"/>
      <c r="M194" s="436"/>
      <c r="N194" s="436"/>
      <c r="O194" s="436"/>
      <c r="P194" s="436"/>
      <c r="Q194" s="437"/>
    </row>
    <row r="195" spans="1:17" x14ac:dyDescent="0.3">
      <c r="A195" s="53"/>
      <c r="B195" s="54" t="s">
        <v>548</v>
      </c>
      <c r="C195" s="54"/>
      <c r="D195" s="54"/>
      <c r="E195" s="54"/>
      <c r="F195" s="54"/>
      <c r="G195" s="54"/>
      <c r="H195" s="54"/>
      <c r="I195" s="54"/>
      <c r="J195" s="54"/>
      <c r="K195" s="54"/>
      <c r="L195" s="435"/>
      <c r="M195" s="436"/>
      <c r="N195" s="436"/>
      <c r="O195" s="436"/>
      <c r="P195" s="436"/>
      <c r="Q195" s="437"/>
    </row>
    <row r="196" spans="1:17" x14ac:dyDescent="0.3">
      <c r="A196" s="53"/>
      <c r="B196" s="26" t="s">
        <v>659</v>
      </c>
      <c r="C196" s="54"/>
      <c r="D196" s="54"/>
      <c r="E196" s="54"/>
      <c r="F196" s="54"/>
      <c r="G196" s="54"/>
      <c r="H196" s="54"/>
      <c r="I196" s="54"/>
      <c r="J196" s="54"/>
      <c r="K196" s="54"/>
      <c r="L196" s="435"/>
      <c r="M196" s="436"/>
      <c r="N196" s="436"/>
      <c r="O196" s="436"/>
      <c r="P196" s="436"/>
      <c r="Q196" s="437"/>
    </row>
    <row r="197" spans="1:17" x14ac:dyDescent="0.3">
      <c r="A197" s="53"/>
      <c r="B197" s="54" t="s">
        <v>150</v>
      </c>
      <c r="C197" s="54"/>
      <c r="D197" s="54"/>
      <c r="E197" s="54"/>
      <c r="F197" s="54"/>
      <c r="G197" s="54"/>
      <c r="H197" s="54"/>
      <c r="I197" s="54"/>
      <c r="J197" s="54"/>
      <c r="K197" s="54"/>
      <c r="L197" s="435"/>
      <c r="M197" s="436"/>
      <c r="N197" s="436"/>
      <c r="O197" s="436"/>
      <c r="P197" s="436"/>
      <c r="Q197" s="437"/>
    </row>
    <row r="198" spans="1:17" x14ac:dyDescent="0.3">
      <c r="A198" s="53"/>
      <c r="B198" s="54" t="s">
        <v>660</v>
      </c>
      <c r="C198" s="54"/>
      <c r="D198" s="54"/>
      <c r="E198" s="54"/>
      <c r="F198" s="54"/>
      <c r="G198" s="54"/>
      <c r="H198" s="54"/>
      <c r="I198" s="54"/>
      <c r="J198" s="54"/>
      <c r="K198" s="54"/>
      <c r="L198" s="435"/>
      <c r="M198" s="436"/>
      <c r="N198" s="436"/>
      <c r="O198" s="436"/>
      <c r="P198" s="436"/>
      <c r="Q198" s="437"/>
    </row>
    <row r="199" spans="1:17" x14ac:dyDescent="0.3">
      <c r="A199" s="53"/>
      <c r="B199" s="54" t="s">
        <v>661</v>
      </c>
      <c r="C199" s="54"/>
      <c r="D199" s="54"/>
      <c r="E199" s="54"/>
      <c r="F199" s="54"/>
      <c r="G199" s="54"/>
      <c r="H199" s="54"/>
      <c r="I199" s="54"/>
      <c r="J199" s="54"/>
      <c r="K199" s="54"/>
      <c r="L199" s="435"/>
      <c r="M199" s="436"/>
      <c r="N199" s="436"/>
      <c r="O199" s="436"/>
      <c r="P199" s="436"/>
      <c r="Q199" s="437"/>
    </row>
    <row r="200" spans="1:17" x14ac:dyDescent="0.3">
      <c r="A200" s="53"/>
      <c r="B200" s="54" t="s">
        <v>662</v>
      </c>
      <c r="C200" s="54"/>
      <c r="D200" s="54"/>
      <c r="E200" s="54"/>
      <c r="F200" s="54"/>
      <c r="G200" s="54"/>
      <c r="H200" s="54"/>
      <c r="I200" s="54"/>
      <c r="J200" s="54"/>
      <c r="K200" s="54"/>
      <c r="L200" s="435"/>
      <c r="M200" s="436"/>
      <c r="N200" s="436"/>
      <c r="O200" s="436"/>
      <c r="P200" s="436"/>
      <c r="Q200" s="437"/>
    </row>
    <row r="201" spans="1:17" x14ac:dyDescent="0.3">
      <c r="A201" s="53"/>
      <c r="B201" s="89" t="s">
        <v>290</v>
      </c>
      <c r="C201" s="54"/>
      <c r="D201" s="54"/>
      <c r="E201" s="54"/>
      <c r="F201" s="54"/>
      <c r="G201" s="54"/>
      <c r="H201" s="54"/>
      <c r="I201" s="54"/>
      <c r="J201" s="54"/>
      <c r="K201" s="54"/>
      <c r="L201" s="435"/>
      <c r="M201" s="436"/>
      <c r="N201" s="436"/>
      <c r="O201" s="436"/>
      <c r="P201" s="436"/>
      <c r="Q201" s="437"/>
    </row>
    <row r="202" spans="1:17" x14ac:dyDescent="0.3">
      <c r="A202" s="53"/>
      <c r="B202" s="54" t="s">
        <v>663</v>
      </c>
      <c r="C202" s="54"/>
      <c r="D202" s="54"/>
      <c r="E202" s="54"/>
      <c r="F202" s="54"/>
      <c r="G202" s="54"/>
      <c r="H202" s="54"/>
      <c r="I202" s="54"/>
      <c r="J202" s="54"/>
      <c r="K202" s="54"/>
      <c r="L202" s="435"/>
      <c r="M202" s="436"/>
      <c r="N202" s="436"/>
      <c r="O202" s="436"/>
      <c r="P202" s="436"/>
      <c r="Q202" s="437"/>
    </row>
    <row r="203" spans="1:17" x14ac:dyDescent="0.3">
      <c r="A203" s="53"/>
      <c r="B203" s="54" t="s">
        <v>664</v>
      </c>
      <c r="C203" s="54"/>
      <c r="D203" s="54"/>
      <c r="E203" s="54"/>
      <c r="F203" s="54"/>
      <c r="G203" s="54"/>
      <c r="H203" s="54"/>
      <c r="I203" s="54"/>
      <c r="J203" s="54"/>
      <c r="K203" s="54"/>
      <c r="L203" s="435"/>
      <c r="M203" s="436"/>
      <c r="N203" s="436"/>
      <c r="O203" s="436"/>
      <c r="P203" s="436"/>
      <c r="Q203" s="437"/>
    </row>
    <row r="204" spans="1:17" x14ac:dyDescent="0.3">
      <c r="A204" s="53"/>
      <c r="B204" s="54" t="s">
        <v>665</v>
      </c>
      <c r="C204" s="54"/>
      <c r="D204" s="54"/>
      <c r="E204" s="54"/>
      <c r="F204" s="54"/>
      <c r="G204" s="54"/>
      <c r="H204" s="54"/>
      <c r="I204" s="54"/>
      <c r="J204" s="54"/>
      <c r="K204" s="54"/>
      <c r="L204" s="435"/>
      <c r="M204" s="436"/>
      <c r="N204" s="436"/>
      <c r="O204" s="436"/>
      <c r="P204" s="436"/>
      <c r="Q204" s="437"/>
    </row>
    <row r="205" spans="1:17" x14ac:dyDescent="0.3">
      <c r="A205" s="53"/>
      <c r="B205" s="54" t="s">
        <v>666</v>
      </c>
      <c r="C205" s="54"/>
      <c r="D205" s="54"/>
      <c r="E205" s="54"/>
      <c r="F205" s="54"/>
      <c r="G205" s="54"/>
      <c r="H205" s="54"/>
      <c r="I205" s="54"/>
      <c r="J205" s="54"/>
      <c r="K205" s="54"/>
      <c r="L205" s="435"/>
      <c r="M205" s="436"/>
      <c r="N205" s="436"/>
      <c r="O205" s="436"/>
      <c r="P205" s="436"/>
      <c r="Q205" s="437"/>
    </row>
    <row r="206" spans="1:17" x14ac:dyDescent="0.3">
      <c r="A206" s="53"/>
      <c r="B206" s="54" t="s">
        <v>550</v>
      </c>
      <c r="C206" s="54"/>
      <c r="D206" s="54"/>
      <c r="E206" s="54"/>
      <c r="F206" s="54"/>
      <c r="G206" s="54"/>
      <c r="H206" s="54"/>
      <c r="I206" s="54"/>
      <c r="J206" s="54"/>
      <c r="K206" s="54"/>
      <c r="L206" s="435"/>
      <c r="M206" s="436"/>
      <c r="N206" s="436"/>
      <c r="O206" s="436"/>
      <c r="P206" s="436"/>
      <c r="Q206" s="437"/>
    </row>
    <row r="207" spans="1:17" x14ac:dyDescent="0.3">
      <c r="A207" s="53"/>
      <c r="B207" s="89" t="s">
        <v>667</v>
      </c>
      <c r="C207" s="54"/>
      <c r="D207" s="54"/>
      <c r="E207" s="54"/>
      <c r="F207" s="54"/>
      <c r="G207" s="54"/>
      <c r="H207" s="54"/>
      <c r="I207" s="54"/>
      <c r="J207" s="54"/>
      <c r="K207" s="54"/>
      <c r="L207" s="435"/>
      <c r="M207" s="436"/>
      <c r="N207" s="436"/>
      <c r="O207" s="436"/>
      <c r="P207" s="436"/>
      <c r="Q207" s="437"/>
    </row>
    <row r="208" spans="1:17" x14ac:dyDescent="0.3">
      <c r="A208" s="53"/>
      <c r="B208" s="54" t="s">
        <v>545</v>
      </c>
      <c r="C208" s="54"/>
      <c r="D208" s="54"/>
      <c r="E208" s="54"/>
      <c r="F208" s="54"/>
      <c r="G208" s="54"/>
      <c r="H208" s="54"/>
      <c r="I208" s="54"/>
      <c r="J208" s="54"/>
      <c r="K208" s="54"/>
      <c r="L208" s="435"/>
      <c r="M208" s="436"/>
      <c r="N208" s="436"/>
      <c r="O208" s="436"/>
      <c r="P208" s="436"/>
      <c r="Q208" s="437"/>
    </row>
    <row r="209" spans="1:27" x14ac:dyDescent="0.3">
      <c r="A209" s="53"/>
      <c r="B209" s="26" t="s">
        <v>586</v>
      </c>
      <c r="C209" s="54"/>
      <c r="D209" s="54"/>
      <c r="E209" s="54"/>
      <c r="F209" s="54"/>
      <c r="G209" s="54"/>
      <c r="H209" s="54"/>
      <c r="I209" s="54"/>
      <c r="J209" s="54"/>
      <c r="K209" s="54"/>
      <c r="L209" s="435"/>
      <c r="M209" s="436"/>
      <c r="N209" s="436"/>
      <c r="O209" s="436"/>
      <c r="P209" s="436"/>
      <c r="Q209" s="437"/>
    </row>
    <row r="210" spans="1:27" x14ac:dyDescent="0.3">
      <c r="A210" s="53"/>
      <c r="B210" s="54" t="s">
        <v>668</v>
      </c>
      <c r="C210" s="54"/>
      <c r="D210" s="54"/>
      <c r="E210" s="54"/>
      <c r="F210" s="54"/>
      <c r="G210" s="54"/>
      <c r="H210" s="54"/>
      <c r="I210" s="54"/>
      <c r="J210" s="54"/>
      <c r="K210" s="54"/>
      <c r="L210" s="435"/>
      <c r="M210" s="436"/>
      <c r="N210" s="436"/>
      <c r="O210" s="436"/>
      <c r="P210" s="436"/>
      <c r="Q210" s="437"/>
    </row>
    <row r="211" spans="1:27" x14ac:dyDescent="0.3">
      <c r="A211" s="53"/>
      <c r="B211" s="54" t="s">
        <v>376</v>
      </c>
      <c r="C211" s="54"/>
      <c r="D211" s="54"/>
      <c r="E211" s="54"/>
      <c r="F211" s="54"/>
      <c r="G211" s="54"/>
      <c r="H211" s="54"/>
      <c r="I211" s="54"/>
      <c r="J211" s="54"/>
      <c r="K211" s="54"/>
      <c r="L211" s="435"/>
      <c r="M211" s="436"/>
      <c r="N211" s="436"/>
      <c r="O211" s="436"/>
      <c r="P211" s="436"/>
      <c r="Q211" s="437"/>
    </row>
    <row r="212" spans="1:27" x14ac:dyDescent="0.3">
      <c r="A212" s="53" t="s">
        <v>47</v>
      </c>
      <c r="B212" s="54" t="s">
        <v>565</v>
      </c>
      <c r="C212" s="54"/>
      <c r="D212" s="54"/>
      <c r="E212" s="54"/>
      <c r="F212" s="54"/>
      <c r="G212" s="54"/>
      <c r="H212" s="54"/>
      <c r="I212" s="54"/>
      <c r="J212" s="54"/>
      <c r="K212" s="54"/>
      <c r="L212" s="435"/>
      <c r="M212" s="436"/>
      <c r="N212" s="436"/>
      <c r="O212" s="436"/>
      <c r="P212" s="436"/>
      <c r="Q212" s="437"/>
    </row>
    <row r="213" spans="1:27" x14ac:dyDescent="0.3">
      <c r="A213" s="53"/>
      <c r="B213" s="338" t="s">
        <v>164</v>
      </c>
      <c r="C213" s="343"/>
      <c r="D213" s="338" t="s">
        <v>175</v>
      </c>
      <c r="E213" s="340"/>
      <c r="F213" s="54"/>
      <c r="G213" s="54"/>
      <c r="H213" s="54"/>
      <c r="I213" s="54"/>
      <c r="J213" s="54"/>
      <c r="K213" s="54"/>
      <c r="L213" s="435"/>
      <c r="M213" s="436"/>
      <c r="N213" s="436"/>
      <c r="O213" s="436"/>
      <c r="P213" s="436"/>
      <c r="Q213" s="437"/>
    </row>
    <row r="214" spans="1:27" x14ac:dyDescent="0.3">
      <c r="A214" s="53"/>
      <c r="B214" s="85" t="s">
        <v>165</v>
      </c>
      <c r="C214" s="246"/>
      <c r="D214" s="85" t="s">
        <v>166</v>
      </c>
      <c r="E214" s="87"/>
      <c r="F214" s="54"/>
      <c r="G214" s="54"/>
      <c r="H214" s="54"/>
      <c r="I214" s="54"/>
      <c r="J214" s="54"/>
      <c r="K214" s="54"/>
      <c r="L214" s="435"/>
      <c r="M214" s="436"/>
      <c r="N214" s="436"/>
      <c r="O214" s="436"/>
      <c r="P214" s="436"/>
      <c r="Q214" s="437"/>
    </row>
    <row r="215" spans="1:27" x14ac:dyDescent="0.3">
      <c r="A215" s="53"/>
      <c r="B215" s="85" t="s">
        <v>167</v>
      </c>
      <c r="C215" s="246"/>
      <c r="D215" s="85" t="s">
        <v>168</v>
      </c>
      <c r="E215" s="87"/>
      <c r="F215" s="54"/>
      <c r="G215" s="54"/>
      <c r="H215" s="54"/>
      <c r="I215" s="54"/>
      <c r="J215" s="54"/>
      <c r="K215" s="54"/>
      <c r="L215" s="435"/>
      <c r="M215" s="436"/>
      <c r="N215" s="436"/>
      <c r="O215" s="436"/>
      <c r="P215" s="436"/>
      <c r="Q215" s="437"/>
    </row>
    <row r="216" spans="1:27" x14ac:dyDescent="0.3">
      <c r="A216" s="53"/>
      <c r="B216" s="85" t="s">
        <v>169</v>
      </c>
      <c r="C216" s="246"/>
      <c r="D216" s="85" t="s">
        <v>170</v>
      </c>
      <c r="E216" s="87"/>
      <c r="F216" s="54"/>
      <c r="G216" s="54"/>
      <c r="H216" s="54"/>
      <c r="I216" s="54"/>
      <c r="J216" s="54"/>
      <c r="K216" s="54"/>
      <c r="L216" s="435"/>
      <c r="M216" s="436"/>
      <c r="N216" s="436"/>
      <c r="O216" s="436"/>
      <c r="P216" s="436"/>
      <c r="Q216" s="437"/>
    </row>
    <row r="217" spans="1:27" x14ac:dyDescent="0.3">
      <c r="A217" s="53"/>
      <c r="B217" s="85" t="s">
        <v>171</v>
      </c>
      <c r="C217" s="246"/>
      <c r="D217" s="85" t="s">
        <v>172</v>
      </c>
      <c r="E217" s="87"/>
      <c r="F217" s="54"/>
      <c r="G217" s="54"/>
      <c r="H217" s="54"/>
      <c r="I217" s="54"/>
      <c r="J217" s="54"/>
      <c r="K217" s="54"/>
      <c r="L217" s="435"/>
      <c r="M217" s="436"/>
      <c r="N217" s="436"/>
      <c r="O217" s="436"/>
      <c r="P217" s="436"/>
      <c r="Q217" s="437"/>
    </row>
    <row r="218" spans="1:27" x14ac:dyDescent="0.3">
      <c r="A218" s="53"/>
      <c r="B218" s="86" t="s">
        <v>173</v>
      </c>
      <c r="C218" s="252"/>
      <c r="D218" s="86" t="s">
        <v>174</v>
      </c>
      <c r="E218" s="88"/>
      <c r="F218" s="54"/>
      <c r="G218" s="54"/>
      <c r="H218" s="54"/>
      <c r="I218" s="54"/>
      <c r="J218" s="54"/>
      <c r="K218" s="54"/>
      <c r="L218" s="435"/>
      <c r="M218" s="436"/>
      <c r="N218" s="436"/>
      <c r="O218" s="436"/>
      <c r="P218" s="436"/>
      <c r="Q218" s="437"/>
    </row>
    <row r="219" spans="1:27" x14ac:dyDescent="0.3">
      <c r="A219" s="53"/>
      <c r="B219" s="184" t="s">
        <v>289</v>
      </c>
      <c r="C219" s="54"/>
      <c r="D219" s="54"/>
      <c r="E219" s="54"/>
      <c r="F219" s="54"/>
      <c r="G219" s="54"/>
      <c r="H219" s="54"/>
      <c r="I219" s="54"/>
      <c r="J219" s="54"/>
      <c r="K219" s="54"/>
      <c r="L219" s="435"/>
      <c r="M219" s="436"/>
      <c r="N219" s="436"/>
      <c r="O219" s="436"/>
      <c r="P219" s="436"/>
      <c r="Q219" s="437"/>
    </row>
    <row r="220" spans="1:27" x14ac:dyDescent="0.3">
      <c r="A220" s="78"/>
      <c r="B220" s="77"/>
      <c r="C220" s="77"/>
      <c r="D220" s="77"/>
      <c r="E220" s="77"/>
      <c r="F220" s="77"/>
      <c r="G220" s="77"/>
      <c r="H220" s="77"/>
      <c r="I220" s="77"/>
      <c r="J220" s="77"/>
      <c r="K220" s="77"/>
      <c r="L220" s="429"/>
      <c r="M220" s="430"/>
      <c r="N220" s="430"/>
      <c r="O220" s="430"/>
      <c r="P220" s="430"/>
      <c r="Q220" s="431"/>
    </row>
    <row r="221" spans="1:27" x14ac:dyDescent="0.3">
      <c r="A221" s="54"/>
      <c r="I221" s="47"/>
      <c r="J221" s="47"/>
      <c r="K221" s="47"/>
      <c r="L221" s="47"/>
      <c r="M221" s="47"/>
      <c r="N221" s="47"/>
      <c r="O221" s="47"/>
      <c r="P221" s="47"/>
      <c r="Q221" s="47"/>
    </row>
    <row r="222" spans="1:27" x14ac:dyDescent="0.3">
      <c r="A222" s="56" t="s">
        <v>311</v>
      </c>
      <c r="B222" s="57"/>
      <c r="C222" s="57"/>
      <c r="D222" s="57"/>
      <c r="E222" s="57"/>
      <c r="F222" s="57"/>
      <c r="G222" s="57"/>
      <c r="H222" s="57"/>
      <c r="I222" s="57"/>
      <c r="J222" s="57"/>
      <c r="K222" s="57"/>
      <c r="L222" s="57"/>
      <c r="M222" s="57"/>
      <c r="N222" s="57"/>
      <c r="O222" s="57"/>
      <c r="P222" s="57"/>
      <c r="Q222" s="57"/>
    </row>
    <row r="223" spans="1:27" x14ac:dyDescent="0.3">
      <c r="A223" s="132"/>
      <c r="B223" s="54"/>
      <c r="C223" s="54"/>
      <c r="D223" s="54"/>
      <c r="E223" s="54"/>
      <c r="F223" s="54"/>
      <c r="G223" s="54"/>
      <c r="H223" s="54"/>
      <c r="I223" s="54"/>
      <c r="J223" s="54"/>
      <c r="K223" s="54"/>
      <c r="L223" s="54"/>
      <c r="M223" s="54"/>
      <c r="N223" s="54"/>
      <c r="O223" s="54"/>
      <c r="P223" s="54"/>
      <c r="Q223" s="54"/>
    </row>
    <row r="224" spans="1:27" x14ac:dyDescent="0.3">
      <c r="A224" s="133" t="str">
        <f>IF(Oplysningsside!$B$15="","",Oplysningsside!$B$15)</f>
        <v>C bue</v>
      </c>
      <c r="B224" s="316" t="s">
        <v>484</v>
      </c>
      <c r="C224" s="234"/>
      <c r="D224" s="234"/>
      <c r="E224" s="234"/>
      <c r="F224" s="234"/>
      <c r="G224" s="234"/>
      <c r="H224" s="234"/>
      <c r="I224" s="234"/>
      <c r="J224" s="234"/>
      <c r="K224" s="234"/>
      <c r="L224" s="234"/>
      <c r="M224" s="237"/>
      <c r="O224" s="133" t="str">
        <f>IF(Oplysningsside!$B$15="","",Oplysningsside!$B$15)</f>
        <v>C bue</v>
      </c>
      <c r="P224" s="316" t="s">
        <v>484</v>
      </c>
      <c r="Q224" s="234"/>
      <c r="R224" s="234"/>
      <c r="S224" s="234"/>
      <c r="T224" s="234"/>
      <c r="U224" s="234"/>
      <c r="V224" s="234"/>
      <c r="W224" s="234"/>
      <c r="X224" s="234"/>
      <c r="Y224" s="234"/>
      <c r="Z224" s="234"/>
      <c r="AA224" s="237"/>
    </row>
    <row r="225" spans="1:27" x14ac:dyDescent="0.3">
      <c r="A225" s="114"/>
      <c r="B225" s="233" t="s">
        <v>298</v>
      </c>
      <c r="C225" s="233"/>
      <c r="D225" s="233"/>
      <c r="E225" s="233"/>
      <c r="F225" s="233"/>
      <c r="G225" s="233"/>
      <c r="H225" s="233"/>
      <c r="I225" s="54"/>
      <c r="J225" s="54"/>
      <c r="K225" s="54"/>
      <c r="L225" s="233"/>
      <c r="M225" s="246"/>
      <c r="O225" s="114"/>
      <c r="P225" s="233" t="s">
        <v>298</v>
      </c>
      <c r="Q225" s="233"/>
      <c r="R225" s="233"/>
      <c r="S225" s="233"/>
      <c r="T225" s="233"/>
      <c r="U225" s="233"/>
      <c r="V225" s="233"/>
      <c r="W225" s="54"/>
      <c r="X225" s="54"/>
      <c r="Y225" s="54"/>
      <c r="Z225" s="233"/>
      <c r="AA225" s="246"/>
    </row>
    <row r="226" spans="1:27" x14ac:dyDescent="0.3">
      <c r="A226" s="328"/>
      <c r="B226" s="233" t="s">
        <v>449</v>
      </c>
      <c r="C226" s="233"/>
      <c r="D226" s="233"/>
      <c r="E226" s="233"/>
      <c r="F226" s="233"/>
      <c r="G226" s="233"/>
      <c r="H226" s="233"/>
      <c r="I226" s="54"/>
      <c r="J226" s="274"/>
      <c r="K226" s="54"/>
      <c r="L226" s="233"/>
      <c r="M226" s="246"/>
      <c r="O226" s="111"/>
      <c r="P226" s="233" t="s">
        <v>449</v>
      </c>
      <c r="Q226" s="233"/>
      <c r="R226" s="233"/>
      <c r="S226" s="233"/>
      <c r="T226" s="233"/>
      <c r="U226" s="233"/>
      <c r="V226" s="233"/>
      <c r="W226" s="54"/>
      <c r="X226" s="274"/>
      <c r="Y226" s="54"/>
      <c r="Z226" s="233"/>
      <c r="AA226" s="246"/>
    </row>
    <row r="227" spans="1:27" x14ac:dyDescent="0.3">
      <c r="A227" s="114"/>
      <c r="B227" s="233" t="s">
        <v>389</v>
      </c>
      <c r="C227" s="233"/>
      <c r="D227" s="233"/>
      <c r="E227" s="233"/>
      <c r="F227" s="233"/>
      <c r="G227" s="233"/>
      <c r="H227" s="233"/>
      <c r="I227" s="54"/>
      <c r="J227" s="274"/>
      <c r="K227" s="54"/>
      <c r="L227" s="233"/>
      <c r="M227" s="246"/>
      <c r="O227" s="114"/>
      <c r="P227" s="233" t="s">
        <v>389</v>
      </c>
      <c r="Q227" s="233"/>
      <c r="R227" s="233"/>
      <c r="S227" s="233"/>
      <c r="T227" s="233"/>
      <c r="U227" s="233"/>
      <c r="V227" s="233"/>
      <c r="W227" s="54"/>
      <c r="X227" s="274"/>
      <c r="Y227" s="54"/>
      <c r="Z227" s="233"/>
      <c r="AA227" s="246"/>
    </row>
    <row r="228" spans="1:27" x14ac:dyDescent="0.3">
      <c r="A228" s="209"/>
      <c r="B228" s="233"/>
      <c r="C228" s="233"/>
      <c r="D228" s="233"/>
      <c r="E228" s="233"/>
      <c r="F228" s="233"/>
      <c r="G228" s="233"/>
      <c r="H228" s="233"/>
      <c r="I228" s="233"/>
      <c r="J228" s="233"/>
      <c r="K228" s="233"/>
      <c r="L228" s="233"/>
      <c r="M228" s="246"/>
      <c r="O228" s="209"/>
      <c r="P228" s="233"/>
      <c r="Q228" s="233"/>
      <c r="R228" s="233"/>
      <c r="S228" s="233"/>
      <c r="T228" s="233"/>
      <c r="U228" s="233"/>
      <c r="V228" s="233"/>
      <c r="W228" s="233"/>
      <c r="X228" s="233"/>
      <c r="Y228" s="233"/>
      <c r="Z228" s="233"/>
      <c r="AA228" s="246"/>
    </row>
    <row r="229" spans="1:27" x14ac:dyDescent="0.3">
      <c r="A229" s="213"/>
      <c r="B229" s="291" t="s">
        <v>498</v>
      </c>
      <c r="C229" s="182"/>
      <c r="D229" s="182"/>
      <c r="E229" s="182"/>
      <c r="F229" s="182"/>
      <c r="G229" s="182"/>
      <c r="H229" s="182"/>
      <c r="I229" s="182"/>
      <c r="J229" s="182"/>
      <c r="K229" s="182"/>
      <c r="L229" s="182"/>
      <c r="M229" s="252"/>
      <c r="O229" s="213"/>
      <c r="P229" s="26" t="s">
        <v>499</v>
      </c>
      <c r="Q229" s="182"/>
      <c r="R229" s="182"/>
      <c r="S229" s="182"/>
      <c r="T229" s="182"/>
      <c r="U229" s="182"/>
      <c r="V229" s="182"/>
      <c r="W229" s="182"/>
      <c r="X229" s="182"/>
      <c r="Y229" s="182"/>
      <c r="Z229" s="182"/>
      <c r="AA229" s="252"/>
    </row>
    <row r="230" spans="1:27" x14ac:dyDescent="0.3">
      <c r="A230" s="58" t="s">
        <v>48</v>
      </c>
      <c r="B230" s="58" t="s">
        <v>111</v>
      </c>
      <c r="C230" s="196" t="s">
        <v>291</v>
      </c>
      <c r="D230" s="198"/>
      <c r="E230" s="58" t="s">
        <v>52</v>
      </c>
      <c r="F230" s="58" t="s">
        <v>59</v>
      </c>
      <c r="G230" s="58" t="s">
        <v>50</v>
      </c>
      <c r="H230" s="58" t="s">
        <v>51</v>
      </c>
      <c r="I230" s="58" t="s">
        <v>83</v>
      </c>
      <c r="J230" s="58" t="s">
        <v>86</v>
      </c>
      <c r="K230" s="58" t="s">
        <v>86</v>
      </c>
      <c r="L230" s="58" t="s">
        <v>67</v>
      </c>
      <c r="M230" s="58" t="s">
        <v>294</v>
      </c>
      <c r="O230" s="58" t="s">
        <v>48</v>
      </c>
      <c r="P230" s="58" t="s">
        <v>111</v>
      </c>
      <c r="Q230" s="196" t="s">
        <v>291</v>
      </c>
      <c r="R230" s="198"/>
      <c r="S230" s="58" t="s">
        <v>52</v>
      </c>
      <c r="T230" s="58" t="s">
        <v>59</v>
      </c>
      <c r="U230" s="58" t="s">
        <v>50</v>
      </c>
      <c r="V230" s="58" t="s">
        <v>51</v>
      </c>
      <c r="W230" s="58" t="s">
        <v>83</v>
      </c>
      <c r="X230" s="58" t="s">
        <v>86</v>
      </c>
      <c r="Y230" s="58" t="s">
        <v>86</v>
      </c>
      <c r="Z230" s="58" t="s">
        <v>67</v>
      </c>
      <c r="AA230" s="58" t="s">
        <v>294</v>
      </c>
    </row>
    <row r="231" spans="1:27" x14ac:dyDescent="0.3">
      <c r="A231" s="59"/>
      <c r="B231" s="59"/>
      <c r="C231" s="189"/>
      <c r="D231" s="190"/>
      <c r="E231" s="59" t="s">
        <v>54</v>
      </c>
      <c r="F231" s="59" t="s">
        <v>60</v>
      </c>
      <c r="G231" s="59"/>
      <c r="H231" s="59"/>
      <c r="I231" s="59" t="s">
        <v>84</v>
      </c>
      <c r="J231" s="59" t="s">
        <v>87</v>
      </c>
      <c r="K231" s="59" t="s">
        <v>87</v>
      </c>
      <c r="L231" s="59"/>
      <c r="M231" s="59" t="s">
        <v>295</v>
      </c>
      <c r="O231" s="59"/>
      <c r="P231" s="59"/>
      <c r="Q231" s="189"/>
      <c r="R231" s="190"/>
      <c r="S231" s="59" t="s">
        <v>54</v>
      </c>
      <c r="T231" s="59" t="s">
        <v>60</v>
      </c>
      <c r="U231" s="59"/>
      <c r="V231" s="59"/>
      <c r="W231" s="59" t="s">
        <v>84</v>
      </c>
      <c r="X231" s="59" t="s">
        <v>87</v>
      </c>
      <c r="Y231" s="59" t="s">
        <v>87</v>
      </c>
      <c r="Z231" s="59"/>
      <c r="AA231" s="59" t="s">
        <v>295</v>
      </c>
    </row>
    <row r="232" spans="1:27" x14ac:dyDescent="0.3">
      <c r="A232" s="60"/>
      <c r="B232" s="60"/>
      <c r="C232" s="191"/>
      <c r="D232" s="192"/>
      <c r="E232" s="60"/>
      <c r="F232" s="60"/>
      <c r="G232" s="60"/>
      <c r="H232" s="60"/>
      <c r="I232" s="60" t="s">
        <v>85</v>
      </c>
      <c r="J232" s="60"/>
      <c r="K232" s="60" t="s">
        <v>299</v>
      </c>
      <c r="L232" s="179"/>
      <c r="M232" s="60" t="s">
        <v>109</v>
      </c>
      <c r="O232" s="60"/>
      <c r="P232" s="60"/>
      <c r="Q232" s="191"/>
      <c r="R232" s="192"/>
      <c r="S232" s="60"/>
      <c r="T232" s="60"/>
      <c r="U232" s="60"/>
      <c r="V232" s="60"/>
      <c r="W232" s="60" t="s">
        <v>85</v>
      </c>
      <c r="X232" s="60"/>
      <c r="Y232" s="60" t="s">
        <v>299</v>
      </c>
      <c r="Z232" s="179"/>
      <c r="AA232" s="60" t="s">
        <v>109</v>
      </c>
    </row>
    <row r="233" spans="1:27" x14ac:dyDescent="0.3">
      <c r="A233" s="61">
        <v>1</v>
      </c>
      <c r="B233" s="90"/>
      <c r="C233" s="397"/>
      <c r="D233" s="398"/>
      <c r="E233" s="90"/>
      <c r="F233" s="90"/>
      <c r="G233" s="90"/>
      <c r="H233" s="90"/>
      <c r="I233" s="90"/>
      <c r="J233" s="180" t="str">
        <f>IF(OR($A$227="",I233="",I233&gt;21),"",HLOOKUP($A$227,Data!$D$74:$H$95,'5. Monitorer og billedkvalitet'!I233+1,FALSE))</f>
        <v/>
      </c>
      <c r="K233" s="181" t="str">
        <f>IF(OR(F233="",J233=""),"",IF(F233&gt;30.1,1,IF(AND(F233&gt;24,F233&lt;30.1),1.4,IF(AND(F233&gt;18,F233&lt;24.1),1.6,IF(AND(F233&gt;15,F233&lt;18.1),1.8,2)))))</f>
        <v/>
      </c>
      <c r="L233" s="104" t="str">
        <f>IF(OR(F233="",J233=""),"",IF(J233&lt;K233,"IKKE OK","OK"))</f>
        <v/>
      </c>
      <c r="M233" s="90"/>
      <c r="O233" s="61">
        <v>1</v>
      </c>
      <c r="P233" s="90"/>
      <c r="Q233" s="397"/>
      <c r="R233" s="398"/>
      <c r="S233" s="90"/>
      <c r="T233" s="90"/>
      <c r="U233" s="90"/>
      <c r="V233" s="90"/>
      <c r="W233" s="90"/>
      <c r="X233" s="180" t="str">
        <f>IF(OR($A$227="",W233="",W233&gt;21),"",HLOOKUP($A$227,Data!$D$74:$H$95,'5. Monitorer og billedkvalitet'!W233+1,FALSE))</f>
        <v/>
      </c>
      <c r="Y233" s="181" t="str">
        <f>IF(OR(T233="",X233=""),"",IF(T233&gt;30.1,1,IF(AND(T233&gt;24,T233&lt;30.1),1.4,IF(AND(T233&gt;18,T233&lt;24.1),1.6,IF(AND(T233&gt;15,T233&lt;18.1),1.8,2)))))</f>
        <v/>
      </c>
      <c r="Z233" s="104" t="str">
        <f>IF(OR(T233="",X233=""),"",IF(X233&lt;Y233,"IKKE OK","OK"))</f>
        <v/>
      </c>
      <c r="AA233" s="90"/>
    </row>
    <row r="234" spans="1:27" x14ac:dyDescent="0.3">
      <c r="A234" s="61">
        <v>2</v>
      </c>
      <c r="B234" s="90"/>
      <c r="C234" s="397"/>
      <c r="D234" s="398"/>
      <c r="E234" s="90"/>
      <c r="F234" s="90"/>
      <c r="G234" s="90"/>
      <c r="H234" s="90"/>
      <c r="I234" s="90"/>
      <c r="J234" s="180" t="str">
        <f>IF(OR($A$227="",I234="",I234&gt;21),"",HLOOKUP($A$227,Data!$D$74:$H$95,'5. Monitorer og billedkvalitet'!I234+1,FALSE))</f>
        <v/>
      </c>
      <c r="K234" s="181" t="str">
        <f t="shared" ref="K234:K240" si="13">IF(OR(F234="",J234=""),"",IF(F234&gt;30.1,1,IF(AND(F234&gt;24,F234&lt;30.1),1.4,IF(AND(F234&gt;18,F234&lt;24.1),1.6,IF(AND(F234&gt;15,F234&lt;18.1),1.8,2)))))</f>
        <v/>
      </c>
      <c r="L234" s="104" t="str">
        <f t="shared" ref="L234:L240" si="14">IF(OR(F234="",J234=""),"",IF(J234&lt;K234,"IKKE OK","OK"))</f>
        <v/>
      </c>
      <c r="M234" s="90"/>
      <c r="O234" s="61">
        <v>2</v>
      </c>
      <c r="P234" s="90"/>
      <c r="Q234" s="397"/>
      <c r="R234" s="398"/>
      <c r="S234" s="90"/>
      <c r="T234" s="90"/>
      <c r="U234" s="90"/>
      <c r="V234" s="90"/>
      <c r="W234" s="90"/>
      <c r="X234" s="180" t="str">
        <f>IF(OR($A$227="",W234="",W234&gt;21),"",HLOOKUP($A$227,Data!$D$74:$H$95,'5. Monitorer og billedkvalitet'!W234+1,FALSE))</f>
        <v/>
      </c>
      <c r="Y234" s="181" t="str">
        <f t="shared" ref="Y234:Y240" si="15">IF(OR(T234="",X234=""),"",IF(T234&gt;30.1,1,IF(AND(T234&gt;24,T234&lt;30.1),1.4,IF(AND(T234&gt;18,T234&lt;24.1),1.6,IF(AND(T234&gt;15,T234&lt;18.1),1.8,2)))))</f>
        <v/>
      </c>
      <c r="Z234" s="104" t="str">
        <f t="shared" ref="Z234:Z239" si="16">IF(OR(T234="",X234=""),"",IF(X234&lt;Y234,"IKKE OK","OK"))</f>
        <v/>
      </c>
      <c r="AA234" s="90"/>
    </row>
    <row r="235" spans="1:27" x14ac:dyDescent="0.3">
      <c r="A235" s="61">
        <v>3</v>
      </c>
      <c r="B235" s="90"/>
      <c r="C235" s="397"/>
      <c r="D235" s="398"/>
      <c r="E235" s="90"/>
      <c r="F235" s="90"/>
      <c r="G235" s="90"/>
      <c r="H235" s="90"/>
      <c r="I235" s="90"/>
      <c r="J235" s="180" t="str">
        <f>IF(OR($A$227="",I235="",I235&gt;21),"",HLOOKUP($A$227,Data!$D$74:$H$95,'5. Monitorer og billedkvalitet'!I235+1,FALSE))</f>
        <v/>
      </c>
      <c r="K235" s="181" t="str">
        <f t="shared" si="13"/>
        <v/>
      </c>
      <c r="L235" s="104" t="str">
        <f t="shared" si="14"/>
        <v/>
      </c>
      <c r="M235" s="90"/>
      <c r="O235" s="61">
        <v>3</v>
      </c>
      <c r="P235" s="90"/>
      <c r="Q235" s="397"/>
      <c r="R235" s="398"/>
      <c r="S235" s="90"/>
      <c r="T235" s="90"/>
      <c r="U235" s="90"/>
      <c r="V235" s="90"/>
      <c r="W235" s="90"/>
      <c r="X235" s="180" t="str">
        <f>IF(OR($A$227="",W235="",W235&gt;21),"",HLOOKUP($A$227,Data!$D$74:$H$95,'5. Monitorer og billedkvalitet'!W235+1,FALSE))</f>
        <v/>
      </c>
      <c r="Y235" s="181" t="str">
        <f t="shared" si="15"/>
        <v/>
      </c>
      <c r="Z235" s="104" t="str">
        <f t="shared" si="16"/>
        <v/>
      </c>
      <c r="AA235" s="90"/>
    </row>
    <row r="236" spans="1:27" x14ac:dyDescent="0.3">
      <c r="A236" s="61">
        <v>4</v>
      </c>
      <c r="B236" s="90"/>
      <c r="C236" s="397"/>
      <c r="D236" s="398"/>
      <c r="E236" s="90"/>
      <c r="F236" s="90"/>
      <c r="G236" s="90"/>
      <c r="H236" s="90"/>
      <c r="I236" s="90"/>
      <c r="J236" s="180" t="str">
        <f>IF(OR($A$227="",I236="",I236&gt;21),"",HLOOKUP($A$227,Data!$D$74:$H$95,'5. Monitorer og billedkvalitet'!I236+1,FALSE))</f>
        <v/>
      </c>
      <c r="K236" s="181" t="str">
        <f t="shared" si="13"/>
        <v/>
      </c>
      <c r="L236" s="104" t="str">
        <f t="shared" si="14"/>
        <v/>
      </c>
      <c r="M236" s="90"/>
      <c r="O236" s="61">
        <v>4</v>
      </c>
      <c r="P236" s="90"/>
      <c r="Q236" s="397"/>
      <c r="R236" s="398"/>
      <c r="S236" s="90"/>
      <c r="T236" s="90"/>
      <c r="U236" s="90"/>
      <c r="V236" s="90"/>
      <c r="W236" s="90"/>
      <c r="X236" s="180" t="str">
        <f>IF(OR($A$227="",W236="",W236&gt;21),"",HLOOKUP($A$227,Data!$D$74:$H$95,'5. Monitorer og billedkvalitet'!W236+1,FALSE))</f>
        <v/>
      </c>
      <c r="Y236" s="181" t="str">
        <f t="shared" si="15"/>
        <v/>
      </c>
      <c r="Z236" s="104" t="str">
        <f t="shared" si="16"/>
        <v/>
      </c>
      <c r="AA236" s="90"/>
    </row>
    <row r="237" spans="1:27" x14ac:dyDescent="0.3">
      <c r="A237" s="61">
        <v>5</v>
      </c>
      <c r="B237" s="90"/>
      <c r="C237" s="397"/>
      <c r="D237" s="398"/>
      <c r="E237" s="90"/>
      <c r="F237" s="90"/>
      <c r="G237" s="90"/>
      <c r="H237" s="90"/>
      <c r="I237" s="90"/>
      <c r="J237" s="180" t="str">
        <f>IF(OR($A$227="",I237="",I237&gt;21),"",HLOOKUP($A$227,Data!$D$74:$H$95,'5. Monitorer og billedkvalitet'!I237+1,FALSE))</f>
        <v/>
      </c>
      <c r="K237" s="181" t="str">
        <f t="shared" si="13"/>
        <v/>
      </c>
      <c r="L237" s="104" t="str">
        <f t="shared" si="14"/>
        <v/>
      </c>
      <c r="M237" s="90"/>
      <c r="O237" s="61">
        <v>5</v>
      </c>
      <c r="P237" s="90"/>
      <c r="Q237" s="397"/>
      <c r="R237" s="398"/>
      <c r="S237" s="90"/>
      <c r="T237" s="90"/>
      <c r="U237" s="90"/>
      <c r="V237" s="90"/>
      <c r="W237" s="90"/>
      <c r="X237" s="180" t="str">
        <f>IF(OR($A$227="",W237="",W237&gt;21),"",HLOOKUP($A$227,Data!$D$74:$H$95,'5. Monitorer og billedkvalitet'!W237+1,FALSE))</f>
        <v/>
      </c>
      <c r="Y237" s="181" t="str">
        <f t="shared" si="15"/>
        <v/>
      </c>
      <c r="Z237" s="104" t="str">
        <f t="shared" si="16"/>
        <v/>
      </c>
      <c r="AA237" s="90"/>
    </row>
    <row r="238" spans="1:27" x14ac:dyDescent="0.3">
      <c r="A238" s="61">
        <v>6</v>
      </c>
      <c r="B238" s="90"/>
      <c r="C238" s="397"/>
      <c r="D238" s="398"/>
      <c r="E238" s="90"/>
      <c r="F238" s="90"/>
      <c r="G238" s="90"/>
      <c r="H238" s="90"/>
      <c r="I238" s="90"/>
      <c r="J238" s="180" t="str">
        <f>IF(OR($A$227="",I238="",I238&gt;21),"",HLOOKUP($A$227,Data!$D$74:$H$95,'5. Monitorer og billedkvalitet'!I238+1,FALSE))</f>
        <v/>
      </c>
      <c r="K238" s="181" t="str">
        <f t="shared" si="13"/>
        <v/>
      </c>
      <c r="L238" s="104" t="str">
        <f t="shared" si="14"/>
        <v/>
      </c>
      <c r="M238" s="90"/>
      <c r="O238" s="61">
        <v>6</v>
      </c>
      <c r="P238" s="90"/>
      <c r="Q238" s="397"/>
      <c r="R238" s="398"/>
      <c r="S238" s="90"/>
      <c r="T238" s="90"/>
      <c r="U238" s="90"/>
      <c r="V238" s="90"/>
      <c r="W238" s="90"/>
      <c r="X238" s="180" t="str">
        <f>IF(OR($A$227="",W238="",W238&gt;21),"",HLOOKUP($A$227,Data!$D$74:$H$95,'5. Monitorer og billedkvalitet'!W238+1,FALSE))</f>
        <v/>
      </c>
      <c r="Y238" s="181" t="str">
        <f t="shared" si="15"/>
        <v/>
      </c>
      <c r="Z238" s="104" t="str">
        <f t="shared" si="16"/>
        <v/>
      </c>
      <c r="AA238" s="90"/>
    </row>
    <row r="239" spans="1:27" x14ac:dyDescent="0.3">
      <c r="A239" s="61">
        <v>7</v>
      </c>
      <c r="B239" s="90"/>
      <c r="C239" s="397"/>
      <c r="D239" s="398"/>
      <c r="E239" s="90"/>
      <c r="F239" s="90"/>
      <c r="G239" s="90"/>
      <c r="H239" s="90"/>
      <c r="I239" s="90"/>
      <c r="J239" s="180" t="str">
        <f>IF(OR($A$227="",I239="",I239&gt;21),"",HLOOKUP($A$227,Data!$D$74:$H$95,'5. Monitorer og billedkvalitet'!I239+1,FALSE))</f>
        <v/>
      </c>
      <c r="K239" s="181" t="str">
        <f t="shared" si="13"/>
        <v/>
      </c>
      <c r="L239" s="104" t="str">
        <f t="shared" si="14"/>
        <v/>
      </c>
      <c r="M239" s="90"/>
      <c r="O239" s="61">
        <v>7</v>
      </c>
      <c r="P239" s="90"/>
      <c r="Q239" s="397"/>
      <c r="R239" s="398"/>
      <c r="S239" s="90"/>
      <c r="T239" s="90"/>
      <c r="U239" s="90"/>
      <c r="V239" s="90"/>
      <c r="W239" s="90"/>
      <c r="X239" s="180" t="str">
        <f>IF(OR($A$227="",W239="",W239&gt;21),"",HLOOKUP($A$227,Data!$D$74:$H$95,'5. Monitorer og billedkvalitet'!W239+1,FALSE))</f>
        <v/>
      </c>
      <c r="Y239" s="181" t="str">
        <f t="shared" si="15"/>
        <v/>
      </c>
      <c r="Z239" s="104" t="str">
        <f t="shared" si="16"/>
        <v/>
      </c>
      <c r="AA239" s="90"/>
    </row>
    <row r="240" spans="1:27" x14ac:dyDescent="0.3">
      <c r="A240" s="61">
        <v>8</v>
      </c>
      <c r="B240" s="90"/>
      <c r="C240" s="397"/>
      <c r="D240" s="398"/>
      <c r="E240" s="90"/>
      <c r="F240" s="90"/>
      <c r="G240" s="90"/>
      <c r="H240" s="90"/>
      <c r="I240" s="90"/>
      <c r="J240" s="180" t="str">
        <f>IF(OR($A$227="",I240="",I240&gt;21),"",HLOOKUP($A$227,Data!$D$74:$H$95,'5. Monitorer og billedkvalitet'!I240+1,FALSE))</f>
        <v/>
      </c>
      <c r="K240" s="181" t="str">
        <f t="shared" si="13"/>
        <v/>
      </c>
      <c r="L240" s="104" t="str">
        <f t="shared" si="14"/>
        <v/>
      </c>
      <c r="M240" s="90"/>
      <c r="O240" s="61">
        <v>8</v>
      </c>
      <c r="P240" s="90"/>
      <c r="Q240" s="397"/>
      <c r="R240" s="398"/>
      <c r="S240" s="90"/>
      <c r="T240" s="90"/>
      <c r="U240" s="90"/>
      <c r="V240" s="90"/>
      <c r="W240" s="90"/>
      <c r="X240" s="180" t="str">
        <f>IF(OR($A$227="",W240="",W240&gt;21),"",HLOOKUP($A$227,Data!$D$74:$H$95,'5. Monitorer og billedkvalitet'!W240+1,FALSE))</f>
        <v/>
      </c>
      <c r="Y240" s="181" t="str">
        <f t="shared" si="15"/>
        <v/>
      </c>
      <c r="Z240" s="104" t="str">
        <f t="shared" ref="Z240" si="17">IF(OR(T240="",X240=""),"",IF(X240&lt;Y240,"IKKE OK","OK"))</f>
        <v/>
      </c>
      <c r="AA240" s="90"/>
    </row>
    <row r="241" spans="1:27" x14ac:dyDescent="0.3">
      <c r="A241" s="58" t="s">
        <v>48</v>
      </c>
      <c r="B241" s="58" t="s">
        <v>111</v>
      </c>
      <c r="C241" s="196" t="s">
        <v>292</v>
      </c>
      <c r="D241" s="198"/>
      <c r="E241" s="58" t="s">
        <v>53</v>
      </c>
      <c r="F241" s="58" t="s">
        <v>59</v>
      </c>
      <c r="G241" s="58" t="s">
        <v>50</v>
      </c>
      <c r="H241" s="58" t="s">
        <v>51</v>
      </c>
      <c r="I241" s="58" t="s">
        <v>83</v>
      </c>
      <c r="J241" s="58" t="s">
        <v>86</v>
      </c>
      <c r="K241" s="58" t="s">
        <v>86</v>
      </c>
      <c r="L241" s="58" t="s">
        <v>67</v>
      </c>
      <c r="M241" s="58" t="s">
        <v>294</v>
      </c>
      <c r="O241" s="58" t="s">
        <v>48</v>
      </c>
      <c r="P241" s="58" t="s">
        <v>111</v>
      </c>
      <c r="Q241" s="196" t="s">
        <v>292</v>
      </c>
      <c r="R241" s="198"/>
      <c r="S241" s="58" t="s">
        <v>53</v>
      </c>
      <c r="T241" s="58" t="s">
        <v>59</v>
      </c>
      <c r="U241" s="58" t="s">
        <v>50</v>
      </c>
      <c r="V241" s="58" t="s">
        <v>51</v>
      </c>
      <c r="W241" s="58" t="s">
        <v>83</v>
      </c>
      <c r="X241" s="58" t="s">
        <v>86</v>
      </c>
      <c r="Y241" s="58" t="s">
        <v>86</v>
      </c>
      <c r="Z241" s="58" t="s">
        <v>67</v>
      </c>
      <c r="AA241" s="58" t="s">
        <v>294</v>
      </c>
    </row>
    <row r="242" spans="1:27" x14ac:dyDescent="0.3">
      <c r="A242" s="59"/>
      <c r="B242" s="59"/>
      <c r="C242" s="189"/>
      <c r="D242" s="190"/>
      <c r="E242" s="59" t="s">
        <v>55</v>
      </c>
      <c r="F242" s="59" t="s">
        <v>60</v>
      </c>
      <c r="G242" s="59"/>
      <c r="H242" s="59"/>
      <c r="I242" s="59" t="s">
        <v>84</v>
      </c>
      <c r="J242" s="59" t="s">
        <v>87</v>
      </c>
      <c r="K242" s="59" t="s">
        <v>87</v>
      </c>
      <c r="L242" s="59"/>
      <c r="M242" s="59" t="s">
        <v>295</v>
      </c>
      <c r="O242" s="59"/>
      <c r="P242" s="59"/>
      <c r="Q242" s="189"/>
      <c r="R242" s="190"/>
      <c r="S242" s="59" t="s">
        <v>55</v>
      </c>
      <c r="T242" s="59" t="s">
        <v>60</v>
      </c>
      <c r="U242" s="59"/>
      <c r="V242" s="59"/>
      <c r="W242" s="59" t="s">
        <v>84</v>
      </c>
      <c r="X242" s="59" t="s">
        <v>87</v>
      </c>
      <c r="Y242" s="59" t="s">
        <v>87</v>
      </c>
      <c r="Z242" s="59"/>
      <c r="AA242" s="59" t="s">
        <v>295</v>
      </c>
    </row>
    <row r="243" spans="1:27" x14ac:dyDescent="0.3">
      <c r="A243" s="60"/>
      <c r="B243" s="60"/>
      <c r="C243" s="191"/>
      <c r="D243" s="192"/>
      <c r="E243" s="60"/>
      <c r="F243" s="60"/>
      <c r="G243" s="60"/>
      <c r="H243" s="60"/>
      <c r="I243" s="60" t="s">
        <v>85</v>
      </c>
      <c r="J243" s="60"/>
      <c r="K243" s="60" t="s">
        <v>299</v>
      </c>
      <c r="L243" s="179"/>
      <c r="M243" s="60" t="s">
        <v>109</v>
      </c>
      <c r="O243" s="60"/>
      <c r="P243" s="60"/>
      <c r="Q243" s="191"/>
      <c r="R243" s="192"/>
      <c r="S243" s="60"/>
      <c r="T243" s="60"/>
      <c r="U243" s="60"/>
      <c r="V243" s="60"/>
      <c r="W243" s="60" t="s">
        <v>85</v>
      </c>
      <c r="X243" s="60"/>
      <c r="Y243" s="60" t="s">
        <v>299</v>
      </c>
      <c r="Z243" s="179"/>
      <c r="AA243" s="60" t="s">
        <v>109</v>
      </c>
    </row>
    <row r="244" spans="1:27" x14ac:dyDescent="0.3">
      <c r="A244" s="61">
        <v>1</v>
      </c>
      <c r="B244" s="90"/>
      <c r="C244" s="397"/>
      <c r="D244" s="398"/>
      <c r="E244" s="90"/>
      <c r="F244" s="90"/>
      <c r="G244" s="90"/>
      <c r="H244" s="90"/>
      <c r="I244" s="90"/>
      <c r="J244" s="180" t="str">
        <f>IF(OR($A$227="",I244="",I244&gt;21),"",HLOOKUP($A$227,Data!$D$74:$H$95,'5. Monitorer og billedkvalitet'!I244+1,FALSE))</f>
        <v/>
      </c>
      <c r="K244" s="181" t="str">
        <f t="shared" ref="K244:K247" si="18">IF(OR(F244="",J244=""),"",IF(F244&gt;30.1,1,IF(AND(F244&gt;24,F244&lt;30.1),1.4,IF(AND(F244&gt;18,F244&lt;24.1),1.6,IF(AND(F244&gt;15,F244&lt;18.1),1.8,2)))))</f>
        <v/>
      </c>
      <c r="L244" s="104" t="str">
        <f>IF(OR(F244="",J244=""),"",IF(J244&lt;K244,"IKKE OK","OK"))</f>
        <v/>
      </c>
      <c r="M244" s="90"/>
      <c r="O244" s="61">
        <v>1</v>
      </c>
      <c r="P244" s="90"/>
      <c r="Q244" s="397"/>
      <c r="R244" s="398"/>
      <c r="S244" s="90"/>
      <c r="T244" s="90"/>
      <c r="U244" s="90"/>
      <c r="V244" s="90"/>
      <c r="W244" s="90"/>
      <c r="X244" s="180" t="str">
        <f>IF(OR($A$227="",W244="",W244&gt;21),"",HLOOKUP($A$227,Data!$D$74:$H$95,'5. Monitorer og billedkvalitet'!W244+1,FALSE))</f>
        <v/>
      </c>
      <c r="Y244" s="181" t="str">
        <f t="shared" ref="Y244:Y251" si="19">IF(OR(T244="",X244=""),"",IF(T244&gt;30.1,1,IF(AND(T244&gt;24,T244&lt;30.1),1.4,IF(AND(T244&gt;18,T244&lt;24.1),1.6,IF(AND(T244&gt;15,T244&lt;18.1),1.8,2)))))</f>
        <v/>
      </c>
      <c r="Z244" s="104" t="str">
        <f>IF(OR(T244="",X244=""),"",IF(X244&lt;Y244,"IKKE OK","OK"))</f>
        <v/>
      </c>
      <c r="AA244" s="90"/>
    </row>
    <row r="245" spans="1:27" x14ac:dyDescent="0.3">
      <c r="A245" s="61">
        <v>2</v>
      </c>
      <c r="B245" s="90"/>
      <c r="C245" s="397"/>
      <c r="D245" s="398"/>
      <c r="E245" s="90"/>
      <c r="F245" s="90"/>
      <c r="G245" s="90"/>
      <c r="H245" s="90"/>
      <c r="I245" s="90"/>
      <c r="J245" s="180" t="str">
        <f>IF(OR($A$227="",I245="",I245&gt;21),"",HLOOKUP($A$227,Data!$D$74:$H$95,'5. Monitorer og billedkvalitet'!I245+1,FALSE))</f>
        <v/>
      </c>
      <c r="K245" s="181" t="str">
        <f t="shared" si="18"/>
        <v/>
      </c>
      <c r="L245" s="104" t="str">
        <f t="shared" ref="L245:L247" si="20">IF(OR(F245="",J245=""),"",IF(J245&lt;K245,"IKKE OK","OK"))</f>
        <v/>
      </c>
      <c r="M245" s="90"/>
      <c r="O245" s="61">
        <v>2</v>
      </c>
      <c r="P245" s="90"/>
      <c r="Q245" s="397"/>
      <c r="R245" s="398"/>
      <c r="S245" s="90"/>
      <c r="T245" s="90"/>
      <c r="U245" s="90"/>
      <c r="V245" s="90"/>
      <c r="W245" s="90"/>
      <c r="X245" s="180" t="str">
        <f>IF(OR($A$227="",W245="",W245&gt;21),"",HLOOKUP($A$227,Data!$D$74:$H$95,'5. Monitorer og billedkvalitet'!W245+1,FALSE))</f>
        <v/>
      </c>
      <c r="Y245" s="181" t="str">
        <f t="shared" si="19"/>
        <v/>
      </c>
      <c r="Z245" s="104" t="str">
        <f t="shared" ref="Z245:Z247" si="21">IF(OR(T245="",X245=""),"",IF(X245&lt;Y245,"IKKE OK","OK"))</f>
        <v/>
      </c>
      <c r="AA245" s="90"/>
    </row>
    <row r="246" spans="1:27" x14ac:dyDescent="0.3">
      <c r="A246" s="61">
        <v>3</v>
      </c>
      <c r="B246" s="90"/>
      <c r="C246" s="397"/>
      <c r="D246" s="398"/>
      <c r="E246" s="90"/>
      <c r="F246" s="90"/>
      <c r="G246" s="90"/>
      <c r="H246" s="90"/>
      <c r="I246" s="90"/>
      <c r="J246" s="180" t="str">
        <f>IF(OR($A$227="",I246="",I246&gt;21),"",HLOOKUP($A$227,Data!$D$74:$H$95,'5. Monitorer og billedkvalitet'!I246+1,FALSE))</f>
        <v/>
      </c>
      <c r="K246" s="181" t="str">
        <f t="shared" ref="K246" si="22">IF(OR(F246="",J246=""),"",IF(F246&gt;30.1,1,IF(AND(F246&gt;24,F246&lt;30.1),1.4,IF(AND(F246&gt;18,F246&lt;24.1),1.6,IF(AND(F246&gt;15,F246&lt;18.1),1.8,2)))))</f>
        <v/>
      </c>
      <c r="L246" s="104" t="str">
        <f t="shared" ref="L246" si="23">IF(OR(F246="",J246=""),"",IF(J246&lt;K246,"IKKE OK","OK"))</f>
        <v/>
      </c>
      <c r="M246" s="90"/>
      <c r="O246" s="61">
        <v>3</v>
      </c>
      <c r="P246" s="90"/>
      <c r="Q246" s="397"/>
      <c r="R246" s="398"/>
      <c r="S246" s="90"/>
      <c r="T246" s="90"/>
      <c r="U246" s="90"/>
      <c r="V246" s="90"/>
      <c r="W246" s="90"/>
      <c r="X246" s="180" t="str">
        <f>IF(OR($A$227="",W246="",W246&gt;21),"",HLOOKUP($A$227,Data!$D$74:$H$95,'5. Monitorer og billedkvalitet'!W246+1,FALSE))</f>
        <v/>
      </c>
      <c r="Y246" s="181" t="str">
        <f t="shared" si="19"/>
        <v/>
      </c>
      <c r="Z246" s="104" t="str">
        <f t="shared" si="21"/>
        <v/>
      </c>
      <c r="AA246" s="90"/>
    </row>
    <row r="247" spans="1:27" x14ac:dyDescent="0.3">
      <c r="A247" s="61">
        <v>4</v>
      </c>
      <c r="B247" s="90"/>
      <c r="C247" s="397"/>
      <c r="D247" s="398"/>
      <c r="E247" s="90"/>
      <c r="F247" s="90"/>
      <c r="G247" s="90"/>
      <c r="H247" s="90"/>
      <c r="I247" s="90"/>
      <c r="J247" s="180" t="str">
        <f>IF(OR($A$227="",I247="",I247&gt;21),"",HLOOKUP($A$227,Data!$D$74:$H$95,'5. Monitorer og billedkvalitet'!I247+1,FALSE))</f>
        <v/>
      </c>
      <c r="K247" s="181" t="str">
        <f t="shared" si="18"/>
        <v/>
      </c>
      <c r="L247" s="104" t="str">
        <f t="shared" si="20"/>
        <v/>
      </c>
      <c r="M247" s="90"/>
      <c r="O247" s="61">
        <v>4</v>
      </c>
      <c r="P247" s="90"/>
      <c r="Q247" s="397"/>
      <c r="R247" s="398"/>
      <c r="S247" s="90"/>
      <c r="T247" s="90"/>
      <c r="U247" s="90"/>
      <c r="V247" s="90"/>
      <c r="W247" s="90"/>
      <c r="X247" s="180" t="str">
        <f>IF(OR($A$227="",W247="",W247&gt;21),"",HLOOKUP($A$227,Data!$D$74:$H$95,'5. Monitorer og billedkvalitet'!W247+1,FALSE))</f>
        <v/>
      </c>
      <c r="Y247" s="181" t="str">
        <f t="shared" si="19"/>
        <v/>
      </c>
      <c r="Z247" s="104" t="str">
        <f t="shared" si="21"/>
        <v/>
      </c>
      <c r="AA247" s="90"/>
    </row>
    <row r="248" spans="1:27" x14ac:dyDescent="0.3">
      <c r="A248" s="61">
        <v>5</v>
      </c>
      <c r="B248" s="90"/>
      <c r="C248" s="397"/>
      <c r="D248" s="398"/>
      <c r="E248" s="90"/>
      <c r="F248" s="90"/>
      <c r="G248" s="90"/>
      <c r="H248" s="90"/>
      <c r="I248" s="90"/>
      <c r="J248" s="180" t="str">
        <f>IF(OR($A$227="",I248="",I248&gt;21),"",HLOOKUP($A$227,Data!$D$74:$H$95,'5. Monitorer og billedkvalitet'!I248+1,FALSE))</f>
        <v/>
      </c>
      <c r="K248" s="181" t="str">
        <f t="shared" ref="K248:K251" si="24">IF(OR(F248="",J248=""),"",IF(F248&gt;30.1,1,IF(AND(F248&gt;24,F248&lt;30.1),1.4,IF(AND(F248&gt;18,F248&lt;24.1),1.6,IF(AND(F248&gt;15,F248&lt;18.1),1.8,2)))))</f>
        <v/>
      </c>
      <c r="L248" s="104" t="str">
        <f>IF(OR(F248="",J248=""),"",IF(J248&lt;K248,"IKKE OK","OK"))</f>
        <v/>
      </c>
      <c r="M248" s="90"/>
      <c r="O248" s="61">
        <v>5</v>
      </c>
      <c r="P248" s="90"/>
      <c r="Q248" s="397"/>
      <c r="R248" s="398"/>
      <c r="S248" s="90"/>
      <c r="T248" s="90"/>
      <c r="U248" s="90"/>
      <c r="V248" s="90"/>
      <c r="W248" s="90"/>
      <c r="X248" s="180" t="str">
        <f>IF(OR($A$227="",W248="",W248&gt;21),"",HLOOKUP($A$227,Data!$D$74:$H$95,'5. Monitorer og billedkvalitet'!W248+1,FALSE))</f>
        <v/>
      </c>
      <c r="Y248" s="181" t="str">
        <f t="shared" si="19"/>
        <v/>
      </c>
      <c r="Z248" s="104" t="str">
        <f>IF(OR(T248="",X248=""),"",IF(X248&lt;Y248,"IKKE OK","OK"))</f>
        <v/>
      </c>
      <c r="AA248" s="90"/>
    </row>
    <row r="249" spans="1:27" x14ac:dyDescent="0.3">
      <c r="A249" s="61">
        <v>6</v>
      </c>
      <c r="B249" s="90"/>
      <c r="C249" s="397"/>
      <c r="D249" s="398"/>
      <c r="E249" s="90"/>
      <c r="F249" s="90"/>
      <c r="G249" s="90"/>
      <c r="H249" s="90"/>
      <c r="I249" s="90"/>
      <c r="J249" s="180" t="str">
        <f>IF(OR($A$227="",I249="",I249&gt;21),"",HLOOKUP($A$227,Data!$D$74:$H$95,'5. Monitorer og billedkvalitet'!I249+1,FALSE))</f>
        <v/>
      </c>
      <c r="K249" s="181" t="str">
        <f t="shared" si="24"/>
        <v/>
      </c>
      <c r="L249" s="104" t="str">
        <f t="shared" ref="L249:L251" si="25">IF(OR(F249="",J249=""),"",IF(J249&lt;K249,"IKKE OK","OK"))</f>
        <v/>
      </c>
      <c r="M249" s="90"/>
      <c r="O249" s="61">
        <v>6</v>
      </c>
      <c r="P249" s="90"/>
      <c r="Q249" s="397"/>
      <c r="R249" s="398"/>
      <c r="S249" s="90"/>
      <c r="T249" s="90"/>
      <c r="U249" s="90"/>
      <c r="V249" s="90"/>
      <c r="W249" s="90"/>
      <c r="X249" s="180" t="str">
        <f>IF(OR($A$227="",W249="",W249&gt;21),"",HLOOKUP($A$227,Data!$D$74:$H$95,'5. Monitorer og billedkvalitet'!W249+1,FALSE))</f>
        <v/>
      </c>
      <c r="Y249" s="181" t="str">
        <f t="shared" si="19"/>
        <v/>
      </c>
      <c r="Z249" s="104" t="str">
        <f t="shared" ref="Z249:Z251" si="26">IF(OR(T249="",X249=""),"",IF(X249&lt;Y249,"IKKE OK","OK"))</f>
        <v/>
      </c>
      <c r="AA249" s="90"/>
    </row>
    <row r="250" spans="1:27" x14ac:dyDescent="0.3">
      <c r="A250" s="61">
        <v>7</v>
      </c>
      <c r="B250" s="90"/>
      <c r="C250" s="397"/>
      <c r="D250" s="398"/>
      <c r="E250" s="90"/>
      <c r="F250" s="90"/>
      <c r="G250" s="90"/>
      <c r="H250" s="90"/>
      <c r="I250" s="90"/>
      <c r="J250" s="180" t="str">
        <f>IF(OR($A$227="",I250="",I250&gt;21),"",HLOOKUP($A$227,Data!$D$74:$H$95,'5. Monitorer og billedkvalitet'!I250+1,FALSE))</f>
        <v/>
      </c>
      <c r="K250" s="181" t="str">
        <f t="shared" si="24"/>
        <v/>
      </c>
      <c r="L250" s="104" t="str">
        <f t="shared" si="25"/>
        <v/>
      </c>
      <c r="M250" s="90"/>
      <c r="O250" s="61">
        <v>7</v>
      </c>
      <c r="P250" s="90"/>
      <c r="Q250" s="397"/>
      <c r="R250" s="398"/>
      <c r="S250" s="90"/>
      <c r="T250" s="90"/>
      <c r="U250" s="90"/>
      <c r="V250" s="90"/>
      <c r="W250" s="90"/>
      <c r="X250" s="180" t="str">
        <f>IF(OR($A$227="",W250="",W250&gt;21),"",HLOOKUP($A$227,Data!$D$74:$H$95,'5. Monitorer og billedkvalitet'!W250+1,FALSE))</f>
        <v/>
      </c>
      <c r="Y250" s="181" t="str">
        <f t="shared" si="19"/>
        <v/>
      </c>
      <c r="Z250" s="104" t="str">
        <f t="shared" si="26"/>
        <v/>
      </c>
      <c r="AA250" s="90"/>
    </row>
    <row r="251" spans="1:27" x14ac:dyDescent="0.3">
      <c r="A251" s="61">
        <v>8</v>
      </c>
      <c r="B251" s="90"/>
      <c r="C251" s="397"/>
      <c r="D251" s="398"/>
      <c r="E251" s="90"/>
      <c r="F251" s="90"/>
      <c r="G251" s="90"/>
      <c r="H251" s="90"/>
      <c r="I251" s="90"/>
      <c r="J251" s="180" t="str">
        <f>IF(OR($A$227="",I251="",I251&gt;21),"",HLOOKUP($A$227,Data!$D$74:$H$95,'5. Monitorer og billedkvalitet'!I251+1,FALSE))</f>
        <v/>
      </c>
      <c r="K251" s="181" t="str">
        <f t="shared" si="24"/>
        <v/>
      </c>
      <c r="L251" s="104" t="str">
        <f t="shared" si="25"/>
        <v/>
      </c>
      <c r="M251" s="90"/>
      <c r="O251" s="61">
        <v>8</v>
      </c>
      <c r="P251" s="90"/>
      <c r="Q251" s="397"/>
      <c r="R251" s="398"/>
      <c r="S251" s="90"/>
      <c r="T251" s="90"/>
      <c r="U251" s="90"/>
      <c r="V251" s="90"/>
      <c r="W251" s="90"/>
      <c r="X251" s="180" t="str">
        <f>IF(OR($A$227="",W251="",W251&gt;21),"",HLOOKUP($A$227,Data!$D$74:$H$95,'5. Monitorer og billedkvalitet'!W251+1,FALSE))</f>
        <v/>
      </c>
      <c r="Y251" s="181" t="str">
        <f t="shared" si="19"/>
        <v/>
      </c>
      <c r="Z251" s="104" t="str">
        <f t="shared" si="26"/>
        <v/>
      </c>
      <c r="AA251" s="90"/>
    </row>
    <row r="254" spans="1:27" ht="18" x14ac:dyDescent="0.35">
      <c r="A254" s="46" t="s">
        <v>391</v>
      </c>
      <c r="B254" s="48"/>
      <c r="C254" s="48"/>
      <c r="D254" s="48"/>
      <c r="E254" s="48"/>
      <c r="F254" s="46"/>
      <c r="G254" s="46" t="s">
        <v>600</v>
      </c>
      <c r="H254" s="48"/>
      <c r="I254" s="48"/>
      <c r="J254" s="48"/>
      <c r="K254" s="48"/>
      <c r="L254" s="48"/>
      <c r="M254" s="48"/>
      <c r="N254" s="48"/>
      <c r="O254" s="48"/>
      <c r="P254" s="48"/>
      <c r="Q254" s="48"/>
      <c r="R254" s="54"/>
    </row>
    <row r="256" spans="1:27" x14ac:dyDescent="0.3">
      <c r="A256" s="49" t="s">
        <v>287</v>
      </c>
      <c r="B256" s="50"/>
      <c r="C256" s="50"/>
      <c r="D256" s="50"/>
      <c r="E256" s="50"/>
      <c r="F256" s="50"/>
      <c r="G256" s="50"/>
      <c r="H256" s="50"/>
      <c r="I256" s="50"/>
      <c r="J256" s="50"/>
      <c r="K256" s="50"/>
      <c r="L256" s="73" t="s">
        <v>96</v>
      </c>
      <c r="M256" s="50"/>
      <c r="N256" s="50"/>
      <c r="O256" s="50"/>
      <c r="P256" s="50"/>
      <c r="Q256" s="50"/>
    </row>
    <row r="257" spans="1:17" x14ac:dyDescent="0.3">
      <c r="A257" s="51" t="s">
        <v>44</v>
      </c>
      <c r="B257" s="52" t="s">
        <v>72</v>
      </c>
      <c r="C257" s="52"/>
      <c r="D257" s="52"/>
      <c r="E257" s="52"/>
      <c r="F257" s="52"/>
      <c r="G257" s="52"/>
      <c r="H257" s="52"/>
      <c r="I257" s="52"/>
      <c r="J257" s="52"/>
      <c r="K257" s="52"/>
      <c r="L257" s="432"/>
      <c r="M257" s="433"/>
      <c r="N257" s="433"/>
      <c r="O257" s="433"/>
      <c r="P257" s="433"/>
      <c r="Q257" s="434"/>
    </row>
    <row r="258" spans="1:17" x14ac:dyDescent="0.3">
      <c r="A258" s="53" t="s">
        <v>45</v>
      </c>
      <c r="B258" s="54" t="s">
        <v>370</v>
      </c>
      <c r="C258" s="54"/>
      <c r="D258" s="54"/>
      <c r="E258" s="54"/>
      <c r="F258" s="54"/>
      <c r="G258" s="54"/>
      <c r="H258" s="54"/>
      <c r="I258" s="54"/>
      <c r="J258" s="54"/>
      <c r="K258" s="54"/>
      <c r="L258" s="435"/>
      <c r="M258" s="436"/>
      <c r="N258" s="436"/>
      <c r="O258" s="436"/>
      <c r="P258" s="436"/>
      <c r="Q258" s="437"/>
    </row>
    <row r="259" spans="1:17" x14ac:dyDescent="0.3">
      <c r="A259" s="53" t="s">
        <v>46</v>
      </c>
      <c r="B259" s="54" t="s">
        <v>669</v>
      </c>
      <c r="C259" s="54"/>
      <c r="D259" s="54"/>
      <c r="E259" s="54"/>
      <c r="F259" s="54"/>
      <c r="G259" s="54"/>
      <c r="H259" s="54"/>
      <c r="I259" s="54"/>
      <c r="J259" s="54"/>
      <c r="K259" s="54"/>
      <c r="L259" s="435"/>
      <c r="M259" s="436"/>
      <c r="N259" s="436"/>
      <c r="O259" s="436"/>
      <c r="P259" s="436"/>
      <c r="Q259" s="437"/>
    </row>
    <row r="260" spans="1:17" x14ac:dyDescent="0.3">
      <c r="A260" s="53"/>
      <c r="B260" s="54" t="s">
        <v>286</v>
      </c>
      <c r="C260" s="54"/>
      <c r="D260" s="54"/>
      <c r="E260" s="54"/>
      <c r="F260" s="54"/>
      <c r="G260" s="54"/>
      <c r="H260" s="54"/>
      <c r="I260" s="54"/>
      <c r="J260" s="54"/>
      <c r="K260" s="54"/>
      <c r="L260" s="435"/>
      <c r="M260" s="436"/>
      <c r="N260" s="436"/>
      <c r="O260" s="436"/>
      <c r="P260" s="436"/>
      <c r="Q260" s="437"/>
    </row>
    <row r="261" spans="1:17" x14ac:dyDescent="0.3">
      <c r="A261" s="53"/>
      <c r="B261" s="54" t="s">
        <v>670</v>
      </c>
      <c r="C261" s="54"/>
      <c r="D261" s="54"/>
      <c r="E261" s="54"/>
      <c r="F261" s="54"/>
      <c r="G261" s="54"/>
      <c r="H261" s="54"/>
      <c r="I261" s="54"/>
      <c r="J261" s="54"/>
      <c r="K261" s="54"/>
      <c r="L261" s="435"/>
      <c r="M261" s="436"/>
      <c r="N261" s="436"/>
      <c r="O261" s="436"/>
      <c r="P261" s="436"/>
      <c r="Q261" s="437"/>
    </row>
    <row r="262" spans="1:17" x14ac:dyDescent="0.3">
      <c r="A262" s="53"/>
      <c r="B262" s="54" t="s">
        <v>371</v>
      </c>
      <c r="C262" s="54"/>
      <c r="D262" s="54"/>
      <c r="E262" s="54"/>
      <c r="F262" s="54"/>
      <c r="G262" s="54"/>
      <c r="H262" s="54"/>
      <c r="I262" s="54"/>
      <c r="J262" s="54"/>
      <c r="K262" s="54"/>
      <c r="L262" s="435"/>
      <c r="M262" s="436"/>
      <c r="N262" s="436"/>
      <c r="O262" s="436"/>
      <c r="P262" s="436"/>
      <c r="Q262" s="437"/>
    </row>
    <row r="263" spans="1:17" x14ac:dyDescent="0.3">
      <c r="A263" s="53" t="s">
        <v>47</v>
      </c>
      <c r="B263" s="54" t="s">
        <v>112</v>
      </c>
      <c r="C263" s="54"/>
      <c r="D263" s="54"/>
      <c r="E263" s="54"/>
      <c r="F263" s="54"/>
      <c r="G263" s="54"/>
      <c r="H263" s="54"/>
      <c r="I263" s="54"/>
      <c r="J263" s="54"/>
      <c r="K263" s="54"/>
      <c r="L263" s="435"/>
      <c r="M263" s="436"/>
      <c r="N263" s="436"/>
      <c r="O263" s="436"/>
      <c r="P263" s="436"/>
      <c r="Q263" s="437"/>
    </row>
    <row r="264" spans="1:17" x14ac:dyDescent="0.3">
      <c r="A264" s="264"/>
      <c r="B264" s="182"/>
      <c r="C264" s="77"/>
      <c r="D264" s="77"/>
      <c r="E264" s="77"/>
      <c r="F264" s="77"/>
      <c r="G264" s="77"/>
      <c r="H264" s="77"/>
      <c r="I264" s="77"/>
      <c r="J264" s="77"/>
      <c r="K264" s="77"/>
      <c r="L264" s="429"/>
      <c r="M264" s="430"/>
      <c r="N264" s="430"/>
      <c r="O264" s="430"/>
      <c r="P264" s="430"/>
      <c r="Q264" s="431"/>
    </row>
    <row r="265" spans="1:17" x14ac:dyDescent="0.3">
      <c r="A265" s="54"/>
      <c r="I265" s="47"/>
      <c r="J265" s="47"/>
      <c r="K265" s="47"/>
      <c r="L265" s="47"/>
      <c r="M265" s="47"/>
      <c r="N265" s="47"/>
      <c r="O265" s="47"/>
      <c r="P265" s="54"/>
      <c r="Q265" s="54"/>
    </row>
    <row r="266" spans="1:17" x14ac:dyDescent="0.3">
      <c r="A266" s="56" t="s">
        <v>392</v>
      </c>
      <c r="B266" s="57"/>
      <c r="C266" s="57"/>
      <c r="D266" s="57"/>
      <c r="E266" s="57"/>
      <c r="F266" s="57"/>
      <c r="G266" s="57"/>
      <c r="H266" s="57"/>
      <c r="I266" s="57"/>
      <c r="J266" s="57"/>
      <c r="K266" s="57"/>
      <c r="L266" s="57"/>
      <c r="M266" s="57"/>
      <c r="N266" s="57"/>
      <c r="O266" s="57"/>
      <c r="P266" s="57"/>
      <c r="Q266" s="57"/>
    </row>
    <row r="267" spans="1:17" x14ac:dyDescent="0.3">
      <c r="A267" s="132"/>
      <c r="B267" s="54"/>
      <c r="C267" s="54"/>
      <c r="D267" s="54"/>
      <c r="E267" s="54"/>
      <c r="F267" s="54"/>
      <c r="G267" s="54"/>
      <c r="H267" s="54"/>
      <c r="I267" s="54"/>
      <c r="J267" s="54"/>
      <c r="K267" s="54"/>
      <c r="L267" s="54"/>
      <c r="M267" s="54"/>
      <c r="N267" s="54"/>
      <c r="O267" s="54"/>
      <c r="P267" s="54"/>
      <c r="Q267" s="54"/>
    </row>
    <row r="268" spans="1:17" x14ac:dyDescent="0.3">
      <c r="A268" s="134"/>
      <c r="B268" s="234" t="s">
        <v>397</v>
      </c>
      <c r="C268" s="234"/>
      <c r="D268" s="234"/>
      <c r="E268" s="234"/>
      <c r="F268" s="234"/>
      <c r="G268" s="257"/>
      <c r="H268" s="234"/>
      <c r="I268" s="237"/>
      <c r="L268" s="230"/>
    </row>
    <row r="269" spans="1:17" x14ac:dyDescent="0.3">
      <c r="A269" s="214"/>
      <c r="B269" s="233" t="s">
        <v>389</v>
      </c>
      <c r="C269" s="233"/>
      <c r="D269" s="233"/>
      <c r="E269" s="233"/>
      <c r="F269" s="233"/>
      <c r="G269" s="239"/>
      <c r="H269" s="233"/>
      <c r="I269" s="246"/>
    </row>
    <row r="270" spans="1:17" x14ac:dyDescent="0.3">
      <c r="A270" s="216"/>
      <c r="B270" s="182"/>
      <c r="C270" s="182"/>
      <c r="D270" s="182"/>
      <c r="E270" s="182"/>
      <c r="F270" s="182"/>
      <c r="G270" s="183"/>
      <c r="H270" s="182"/>
      <c r="I270" s="252"/>
    </row>
    <row r="271" spans="1:17" x14ac:dyDescent="0.3">
      <c r="A271" s="58" t="s">
        <v>48</v>
      </c>
      <c r="B271" s="58" t="s">
        <v>111</v>
      </c>
      <c r="C271" s="196" t="s">
        <v>291</v>
      </c>
      <c r="D271" s="198"/>
      <c r="E271" s="58" t="s">
        <v>52</v>
      </c>
      <c r="F271" s="58" t="s">
        <v>59</v>
      </c>
      <c r="G271" s="58" t="s">
        <v>50</v>
      </c>
      <c r="H271" s="58" t="s">
        <v>51</v>
      </c>
      <c r="I271" s="58" t="s">
        <v>121</v>
      </c>
    </row>
    <row r="272" spans="1:17" x14ac:dyDescent="0.3">
      <c r="A272" s="59"/>
      <c r="B272" s="59"/>
      <c r="C272" s="189"/>
      <c r="D272" s="190"/>
      <c r="E272" s="59" t="s">
        <v>54</v>
      </c>
      <c r="F272" s="59" t="s">
        <v>60</v>
      </c>
      <c r="G272" s="59"/>
      <c r="H272" s="59"/>
      <c r="I272" s="60" t="s">
        <v>109</v>
      </c>
    </row>
    <row r="273" spans="1:9" x14ac:dyDescent="0.3">
      <c r="A273" s="61">
        <v>1</v>
      </c>
      <c r="B273" s="90"/>
      <c r="C273" s="329"/>
      <c r="D273" s="330"/>
      <c r="E273" s="90"/>
      <c r="F273" s="90"/>
      <c r="G273" s="90"/>
      <c r="H273" s="90"/>
      <c r="I273" s="90"/>
    </row>
  </sheetData>
  <sheetProtection sheet="1" objects="1" scenarios="1"/>
  <mergeCells count="203">
    <mergeCell ref="O1:P1"/>
    <mergeCell ref="O2:P2"/>
    <mergeCell ref="O3:P3"/>
    <mergeCell ref="O4:P4"/>
    <mergeCell ref="O5:P5"/>
    <mergeCell ref="C1:E1"/>
    <mergeCell ref="C2:E2"/>
    <mergeCell ref="C3:E3"/>
    <mergeCell ref="C4:E4"/>
    <mergeCell ref="C5:E5"/>
    <mergeCell ref="I1:K1"/>
    <mergeCell ref="I2:K2"/>
    <mergeCell ref="I3:K3"/>
    <mergeCell ref="I4:K4"/>
    <mergeCell ref="I5:K5"/>
    <mergeCell ref="L264:Q264"/>
    <mergeCell ref="L111:Q111"/>
    <mergeCell ref="L212:Q212"/>
    <mergeCell ref="L213:Q213"/>
    <mergeCell ref="L217:Q217"/>
    <mergeCell ref="L218:Q218"/>
    <mergeCell ref="L159:Q159"/>
    <mergeCell ref="L188:Q188"/>
    <mergeCell ref="L189:Q189"/>
    <mergeCell ref="L190:Q190"/>
    <mergeCell ref="L144:Q144"/>
    <mergeCell ref="L145:Q145"/>
    <mergeCell ref="L146:Q146"/>
    <mergeCell ref="L147:Q147"/>
    <mergeCell ref="L148:Q148"/>
    <mergeCell ref="L149:Q149"/>
    <mergeCell ref="L150:Q150"/>
    <mergeCell ref="L151:Q151"/>
    <mergeCell ref="L152:Q152"/>
    <mergeCell ref="L153:Q153"/>
    <mergeCell ref="L154:Q154"/>
    <mergeCell ref="L155:Q155"/>
    <mergeCell ref="L156:Q156"/>
    <mergeCell ref="L157:Q157"/>
    <mergeCell ref="L13:Q13"/>
    <mergeCell ref="L258:Q258"/>
    <mergeCell ref="L259:Q259"/>
    <mergeCell ref="L219:Q219"/>
    <mergeCell ref="L220:Q220"/>
    <mergeCell ref="L257:Q257"/>
    <mergeCell ref="L214:Q214"/>
    <mergeCell ref="L215:Q215"/>
    <mergeCell ref="L216:Q216"/>
    <mergeCell ref="L14:Q14"/>
    <mergeCell ref="L15:Q15"/>
    <mergeCell ref="L16:Q16"/>
    <mergeCell ref="L17:Q17"/>
    <mergeCell ref="L97:Q97"/>
    <mergeCell ref="L98:Q98"/>
    <mergeCell ref="L99:Q99"/>
    <mergeCell ref="L194:Q194"/>
    <mergeCell ref="L195:Q195"/>
    <mergeCell ref="L136:Q136"/>
    <mergeCell ref="L131:Q131"/>
    <mergeCell ref="L132:Q132"/>
    <mergeCell ref="L133:Q133"/>
    <mergeCell ref="L134:Q134"/>
    <mergeCell ref="L135:Q135"/>
    <mergeCell ref="E49:I49"/>
    <mergeCell ref="J49:P49"/>
    <mergeCell ref="L42:Q42"/>
    <mergeCell ref="L76:Q76"/>
    <mergeCell ref="L64:Q64"/>
    <mergeCell ref="L65:Q65"/>
    <mergeCell ref="L94:Q94"/>
    <mergeCell ref="L95:Q95"/>
    <mergeCell ref="L96:Q96"/>
    <mergeCell ref="L93:Q93"/>
    <mergeCell ref="L69:Q69"/>
    <mergeCell ref="L70:Q70"/>
    <mergeCell ref="L71:Q71"/>
    <mergeCell ref="L72:Q72"/>
    <mergeCell ref="L73:Q73"/>
    <mergeCell ref="L74:Q74"/>
    <mergeCell ref="L75:Q75"/>
    <mergeCell ref="L18:Q18"/>
    <mergeCell ref="L19:Q19"/>
    <mergeCell ref="L20:Q20"/>
    <mergeCell ref="L21:Q21"/>
    <mergeCell ref="L22:Q22"/>
    <mergeCell ref="L23:Q23"/>
    <mergeCell ref="L24:Q24"/>
    <mergeCell ref="L25:Q25"/>
    <mergeCell ref="L26:Q26"/>
    <mergeCell ref="L27:Q27"/>
    <mergeCell ref="L28:Q28"/>
    <mergeCell ref="L29:Q29"/>
    <mergeCell ref="L30:Q30"/>
    <mergeCell ref="L31:Q31"/>
    <mergeCell ref="L32:Q32"/>
    <mergeCell ref="L33:Q33"/>
    <mergeCell ref="L34:Q34"/>
    <mergeCell ref="L35:Q35"/>
    <mergeCell ref="L36:Q36"/>
    <mergeCell ref="L37:Q37"/>
    <mergeCell ref="L38:Q38"/>
    <mergeCell ref="L39:Q39"/>
    <mergeCell ref="L40:Q40"/>
    <mergeCell ref="L41:Q41"/>
    <mergeCell ref="L66:Q66"/>
    <mergeCell ref="L67:Q67"/>
    <mergeCell ref="L68:Q68"/>
    <mergeCell ref="L100:Q100"/>
    <mergeCell ref="L101:Q101"/>
    <mergeCell ref="L102:Q102"/>
    <mergeCell ref="L103:Q103"/>
    <mergeCell ref="L104:Q104"/>
    <mergeCell ref="L105:Q105"/>
    <mergeCell ref="L106:Q106"/>
    <mergeCell ref="L107:Q107"/>
    <mergeCell ref="L108:Q108"/>
    <mergeCell ref="L109:Q109"/>
    <mergeCell ref="L110:Q110"/>
    <mergeCell ref="L137:Q137"/>
    <mergeCell ref="L138:Q138"/>
    <mergeCell ref="L139:Q139"/>
    <mergeCell ref="L140:Q140"/>
    <mergeCell ref="L141:Q141"/>
    <mergeCell ref="L142:Q142"/>
    <mergeCell ref="L143:Q143"/>
    <mergeCell ref="L209:Q209"/>
    <mergeCell ref="L210:Q210"/>
    <mergeCell ref="L211:Q211"/>
    <mergeCell ref="L260:Q260"/>
    <mergeCell ref="L261:Q261"/>
    <mergeCell ref="L262:Q262"/>
    <mergeCell ref="L263:Q263"/>
    <mergeCell ref="L158:Q158"/>
    <mergeCell ref="L201:Q201"/>
    <mergeCell ref="L202:Q202"/>
    <mergeCell ref="L203:Q203"/>
    <mergeCell ref="L204:Q204"/>
    <mergeCell ref="L205:Q205"/>
    <mergeCell ref="L206:Q206"/>
    <mergeCell ref="L207:Q207"/>
    <mergeCell ref="L208:Q208"/>
    <mergeCell ref="L196:Q196"/>
    <mergeCell ref="L197:Q197"/>
    <mergeCell ref="L198:Q198"/>
    <mergeCell ref="L199:Q199"/>
    <mergeCell ref="L200:Q200"/>
    <mergeCell ref="L191:Q191"/>
    <mergeCell ref="L192:Q192"/>
    <mergeCell ref="L193:Q193"/>
    <mergeCell ref="Q244:R244"/>
    <mergeCell ref="Q245:R245"/>
    <mergeCell ref="Q246:R246"/>
    <mergeCell ref="Q247:R247"/>
    <mergeCell ref="Q248:R248"/>
    <mergeCell ref="Q249:R249"/>
    <mergeCell ref="Q250:R250"/>
    <mergeCell ref="Q251:R251"/>
    <mergeCell ref="Q233:R233"/>
    <mergeCell ref="Q234:R234"/>
    <mergeCell ref="Q235:R235"/>
    <mergeCell ref="Q236:R236"/>
    <mergeCell ref="Q237:R237"/>
    <mergeCell ref="Q238:R238"/>
    <mergeCell ref="Q239:R239"/>
    <mergeCell ref="Q240:R240"/>
    <mergeCell ref="C244:D244"/>
    <mergeCell ref="C245:D245"/>
    <mergeCell ref="C246:D246"/>
    <mergeCell ref="C247:D247"/>
    <mergeCell ref="C248:D248"/>
    <mergeCell ref="C249:D249"/>
    <mergeCell ref="C250:D250"/>
    <mergeCell ref="C251:D251"/>
    <mergeCell ref="C233:D233"/>
    <mergeCell ref="C234:D234"/>
    <mergeCell ref="C235:D235"/>
    <mergeCell ref="C236:D236"/>
    <mergeCell ref="C237:D237"/>
    <mergeCell ref="C238:D238"/>
    <mergeCell ref="C239:D239"/>
    <mergeCell ref="C240:D240"/>
    <mergeCell ref="C86:D86"/>
    <mergeCell ref="C87:D87"/>
    <mergeCell ref="C122:D122"/>
    <mergeCell ref="C123:D123"/>
    <mergeCell ref="C124:D124"/>
    <mergeCell ref="C125:D125"/>
    <mergeCell ref="C179:D179"/>
    <mergeCell ref="C180:D180"/>
    <mergeCell ref="C181:D181"/>
    <mergeCell ref="C182:D182"/>
    <mergeCell ref="C172:D172"/>
    <mergeCell ref="C173:D173"/>
    <mergeCell ref="C174:D174"/>
    <mergeCell ref="C175:D175"/>
    <mergeCell ref="R179:S179"/>
    <mergeCell ref="R180:S180"/>
    <mergeCell ref="R181:S181"/>
    <mergeCell ref="R182:S182"/>
    <mergeCell ref="R172:S172"/>
    <mergeCell ref="R173:S173"/>
    <mergeCell ref="R174:S174"/>
    <mergeCell ref="R175:S175"/>
  </mergeCells>
  <conditionalFormatting sqref="H53:I58">
    <cfRule type="cellIs" dxfId="77" priority="46" operator="equal">
      <formula>"OK"</formula>
    </cfRule>
    <cfRule type="cellIs" dxfId="76" priority="47" operator="equal">
      <formula>"IKKE OK"</formula>
    </cfRule>
  </conditionalFormatting>
  <conditionalFormatting sqref="I86:I87">
    <cfRule type="cellIs" dxfId="75" priority="10" operator="equal">
      <formula>"nej"</formula>
    </cfRule>
    <cfRule type="cellIs" dxfId="74" priority="11" operator="equal">
      <formula>"ja"</formula>
    </cfRule>
  </conditionalFormatting>
  <conditionalFormatting sqref="I122:I125">
    <cfRule type="cellIs" dxfId="73" priority="119" operator="equal">
      <formula>"OK"</formula>
    </cfRule>
    <cfRule type="cellIs" dxfId="72" priority="122" operator="equal">
      <formula>"IKKE OK"</formula>
    </cfRule>
  </conditionalFormatting>
  <conditionalFormatting sqref="I273">
    <cfRule type="cellIs" dxfId="71" priority="103" operator="equal">
      <formula>"ja"</formula>
    </cfRule>
    <cfRule type="cellIs" dxfId="70" priority="104" operator="equal">
      <formula>"nej"</formula>
    </cfRule>
  </conditionalFormatting>
  <conditionalFormatting sqref="J86:J87">
    <cfRule type="cellIs" dxfId="69" priority="141" operator="equal">
      <formula>"IKKE OK"</formula>
    </cfRule>
    <cfRule type="cellIs" dxfId="68" priority="129" operator="equal">
      <formula>"OK"</formula>
    </cfRule>
  </conditionalFormatting>
  <conditionalFormatting sqref="J122:J125">
    <cfRule type="cellIs" dxfId="67" priority="117" operator="equal">
      <formula>"ja"</formula>
    </cfRule>
    <cfRule type="cellIs" dxfId="66" priority="118" operator="equal">
      <formula>"nej"</formula>
    </cfRule>
  </conditionalFormatting>
  <conditionalFormatting sqref="K53:K58">
    <cfRule type="cellIs" dxfId="65" priority="71" operator="equal">
      <formula>"nej"</formula>
    </cfRule>
    <cfRule type="cellIs" dxfId="64" priority="72" operator="equal">
      <formula>"ja"</formula>
    </cfRule>
  </conditionalFormatting>
  <conditionalFormatting sqref="K86:K87">
    <cfRule type="cellIs" dxfId="63" priority="128" operator="equal">
      <formula>"nej"</formula>
    </cfRule>
    <cfRule type="cellIs" dxfId="62" priority="127" operator="equal">
      <formula>"ja"</formula>
    </cfRule>
  </conditionalFormatting>
  <conditionalFormatting sqref="K172:K175">
    <cfRule type="cellIs" dxfId="61" priority="91" operator="equal">
      <formula>"OK"</formula>
    </cfRule>
    <cfRule type="cellIs" dxfId="60" priority="90" operator="equal">
      <formula>"IKKE OK"</formula>
    </cfRule>
  </conditionalFormatting>
  <conditionalFormatting sqref="K179:K182">
    <cfRule type="cellIs" dxfId="59" priority="85" operator="equal">
      <formula>"OK"</formula>
    </cfRule>
    <cfRule type="cellIs" dxfId="58" priority="84" operator="equal">
      <formula>"IKKE OK"</formula>
    </cfRule>
  </conditionalFormatting>
  <conditionalFormatting sqref="L53:L58">
    <cfRule type="cellIs" dxfId="57" priority="70" operator="equal">
      <formula>"OK"</formula>
    </cfRule>
    <cfRule type="cellIs" dxfId="56" priority="73" operator="equal">
      <formula>"IKKE OK"</formula>
    </cfRule>
  </conditionalFormatting>
  <conditionalFormatting sqref="L172:L175">
    <cfRule type="cellIs" dxfId="55" priority="95" operator="equal">
      <formula>"nej"</formula>
    </cfRule>
    <cfRule type="cellIs" dxfId="54" priority="94" operator="equal">
      <formula>"ja"</formula>
    </cfRule>
  </conditionalFormatting>
  <conditionalFormatting sqref="L179:L182">
    <cfRule type="cellIs" dxfId="53" priority="43" operator="equal">
      <formula>"ja"</formula>
    </cfRule>
    <cfRule type="cellIs" dxfId="52" priority="44" operator="equal">
      <formula>"nej"</formula>
    </cfRule>
    <cfRule type="cellIs" dxfId="51" priority="42" operator="equal">
      <formula>"n/a"</formula>
    </cfRule>
  </conditionalFormatting>
  <conditionalFormatting sqref="L233:L240">
    <cfRule type="cellIs" dxfId="50" priority="79" operator="equal">
      <formula>"OK"</formula>
    </cfRule>
    <cfRule type="cellIs" dxfId="49" priority="78" operator="equal">
      <formula>"IKKE OK"</formula>
    </cfRule>
  </conditionalFormatting>
  <conditionalFormatting sqref="L244:L251">
    <cfRule type="cellIs" dxfId="48" priority="74" operator="equal">
      <formula>"IKKE OK"</formula>
    </cfRule>
    <cfRule type="cellIs" dxfId="47" priority="75" operator="equal">
      <formula>"OK"</formula>
    </cfRule>
  </conditionalFormatting>
  <conditionalFormatting sqref="M53:M58">
    <cfRule type="cellIs" dxfId="46" priority="68" operator="equal">
      <formula>"ja"</formula>
    </cfRule>
    <cfRule type="cellIs" dxfId="45" priority="69" operator="equal">
      <formula>"nej"</formula>
    </cfRule>
  </conditionalFormatting>
  <conditionalFormatting sqref="M122:M125">
    <cfRule type="cellIs" dxfId="44" priority="112" operator="equal">
      <formula>"nej"</formula>
    </cfRule>
    <cfRule type="cellIs" dxfId="43" priority="113" operator="equal">
      <formula>"ja"</formula>
    </cfRule>
  </conditionalFormatting>
  <conditionalFormatting sqref="M233:M240">
    <cfRule type="cellIs" dxfId="42" priority="82" operator="equal">
      <formula>"ja"</formula>
    </cfRule>
    <cfRule type="cellIs" dxfId="41" priority="83" operator="equal">
      <formula>"nej"</formula>
    </cfRule>
  </conditionalFormatting>
  <conditionalFormatting sqref="M244:M251">
    <cfRule type="cellIs" dxfId="40" priority="80" operator="equal">
      <formula>"ja"</formula>
    </cfRule>
    <cfRule type="cellIs" dxfId="39" priority="81" operator="equal">
      <formula>"nej"</formula>
    </cfRule>
  </conditionalFormatting>
  <conditionalFormatting sqref="N122:N125">
    <cfRule type="cellIs" dxfId="38" priority="114" operator="equal">
      <formula>"IKKE OK"</formula>
    </cfRule>
    <cfRule type="cellIs" dxfId="37" priority="111" operator="equal">
      <formula>"OK"</formula>
    </cfRule>
  </conditionalFormatting>
  <conditionalFormatting sqref="N172:N175">
    <cfRule type="cellIs" dxfId="36" priority="3" operator="between">
      <formula>-2</formula>
      <formula>5</formula>
    </cfRule>
    <cfRule type="cellIs" dxfId="35" priority="4" operator="between">
      <formula>-5</formula>
      <formula>-2</formula>
    </cfRule>
  </conditionalFormatting>
  <conditionalFormatting sqref="N179:N182">
    <cfRule type="cellIs" dxfId="34" priority="2" operator="between">
      <formula>-5</formula>
      <formula>-2</formula>
    </cfRule>
    <cfRule type="cellIs" dxfId="33" priority="1" operator="between">
      <formula>-2</formula>
      <formula>5</formula>
    </cfRule>
  </conditionalFormatting>
  <conditionalFormatting sqref="O53:O58">
    <cfRule type="cellIs" dxfId="32" priority="5" operator="between">
      <formula>30</formula>
      <formula>100</formula>
    </cfRule>
    <cfRule type="cellIs" dxfId="31" priority="7" operator="lessThanOrEqual">
      <formula>30</formula>
    </cfRule>
  </conditionalFormatting>
  <conditionalFormatting sqref="O122:O125">
    <cfRule type="cellIs" dxfId="30" priority="109" operator="equal">
      <formula>"ja"</formula>
    </cfRule>
    <cfRule type="cellIs" dxfId="29" priority="110" operator="equal">
      <formula>"nej"</formula>
    </cfRule>
  </conditionalFormatting>
  <conditionalFormatting sqref="P53:P58">
    <cfRule type="cellIs" dxfId="28" priority="53" operator="equal">
      <formula>"IKKE OK"</formula>
    </cfRule>
    <cfRule type="cellIs" dxfId="27" priority="52" operator="equal">
      <formula>"OK"</formula>
    </cfRule>
  </conditionalFormatting>
  <conditionalFormatting sqref="Q53:Q58">
    <cfRule type="cellIs" dxfId="26" priority="50" operator="equal">
      <formula>"nej"</formula>
    </cfRule>
    <cfRule type="cellIs" dxfId="25" priority="51" operator="equal">
      <formula>"ja"</formula>
    </cfRule>
  </conditionalFormatting>
  <conditionalFormatting sqref="Z172:Z175">
    <cfRule type="cellIs" dxfId="24" priority="33" operator="equal">
      <formula>"OK"</formula>
    </cfRule>
    <cfRule type="cellIs" dxfId="23" priority="32" operator="equal">
      <formula>"IKKE OK"</formula>
    </cfRule>
  </conditionalFormatting>
  <conditionalFormatting sqref="Z179:Z182">
    <cfRule type="cellIs" dxfId="22" priority="31" operator="equal">
      <formula>"OK"</formula>
    </cfRule>
    <cfRule type="cellIs" dxfId="21" priority="30" operator="equal">
      <formula>"IKKE OK"</formula>
    </cfRule>
  </conditionalFormatting>
  <conditionalFormatting sqref="Z233:Z240">
    <cfRule type="cellIs" dxfId="20" priority="19" operator="equal">
      <formula>"OK"</formula>
    </cfRule>
    <cfRule type="cellIs" dxfId="19" priority="18" operator="equal">
      <formula>"IKKE OK"</formula>
    </cfRule>
  </conditionalFormatting>
  <conditionalFormatting sqref="Z244:Z251">
    <cfRule type="cellIs" dxfId="18" priority="17" operator="equal">
      <formula>"OK"</formula>
    </cfRule>
    <cfRule type="cellIs" dxfId="17" priority="16" operator="equal">
      <formula>"IKKE OK"</formula>
    </cfRule>
  </conditionalFormatting>
  <conditionalFormatting sqref="AA172:AA175">
    <cfRule type="cellIs" dxfId="16" priority="35" operator="equal">
      <formula>"nej"</formula>
    </cfRule>
    <cfRule type="cellIs" dxfId="15" priority="34" operator="equal">
      <formula>"ja"</formula>
    </cfRule>
  </conditionalFormatting>
  <conditionalFormatting sqref="AA179:AA182">
    <cfRule type="cellIs" dxfId="14" priority="29" operator="equal">
      <formula>"nej"</formula>
    </cfRule>
    <cfRule type="cellIs" dxfId="13" priority="28" operator="equal">
      <formula>"ja"</formula>
    </cfRule>
    <cfRule type="cellIs" dxfId="12" priority="27" operator="equal">
      <formula>"n/a"</formula>
    </cfRule>
  </conditionalFormatting>
  <conditionalFormatting sqref="AA233:AA240">
    <cfRule type="cellIs" dxfId="11" priority="23" operator="equal">
      <formula>"nej"</formula>
    </cfRule>
    <cfRule type="cellIs" dxfId="10" priority="22" operator="equal">
      <formula>"ja"</formula>
    </cfRule>
  </conditionalFormatting>
  <conditionalFormatting sqref="AA244:AA251">
    <cfRule type="cellIs" dxfId="9" priority="21" operator="equal">
      <formula>"nej"</formula>
    </cfRule>
    <cfRule type="cellIs" dxfId="8" priority="20" operator="equal">
      <formula>"ja"</formula>
    </cfRule>
  </conditionalFormatting>
  <pageMargins left="0.7" right="0.7" top="0.75" bottom="0.75" header="0.3" footer="0.3"/>
  <pageSetup paperSize="9" orientation="portrait" r:id="rId1"/>
  <ignoredErrors>
    <ignoredError sqref="O4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5" id="{8B5A77AE-E837-42DC-9E56-F683907DE604}">
            <xm:f>OR(Oplysningsside!$B$15="C bue",Oplysningsside!$B$15="Mini C bue",Oplysningsside!$B$15="Intervention",Oplysningsside!$B$15="R/F system")</xm:f>
            <x14:dxf>
              <font>
                <color theme="0"/>
              </font>
              <fill>
                <patternFill>
                  <bgColor theme="0" tint="-4.9989318521683403E-2"/>
                </patternFill>
              </fill>
              <border>
                <left style="thin">
                  <color auto="1"/>
                </left>
                <right/>
                <top/>
                <bottom style="thin">
                  <color auto="1"/>
                </bottom>
                <vertical/>
                <horizontal/>
              </border>
            </x14:dxf>
          </x14:cfRule>
          <xm:sqref>B168</xm:sqref>
        </x14:conditionalFormatting>
        <x14:conditionalFormatting xmlns:xm="http://schemas.microsoft.com/office/excel/2006/main">
          <x14:cfRule type="expression" priority="14" id="{9F405BDD-7CA7-4A48-ABC5-10366ADD73BC}">
            <xm:f>OR(Oplysningsside!$B$15="C bue",Oplysningsside!$B$15="Mini C bue",Oplysningsside!$B$15="Intervention",Oplysningsside!$B$15="R/F system")</xm:f>
            <x14:dxf>
              <font>
                <color theme="0"/>
              </font>
              <fill>
                <patternFill>
                  <bgColor theme="0" tint="-4.9989318521683403E-2"/>
                </patternFill>
              </fill>
              <border>
                <left style="thin">
                  <color auto="1"/>
                </left>
                <right/>
                <top/>
                <bottom style="thin">
                  <color auto="1"/>
                </bottom>
                <vertical/>
                <horizontal/>
              </border>
            </x14:dxf>
          </x14:cfRule>
          <xm:sqref>B229</xm:sqref>
        </x14:conditionalFormatting>
        <x14:conditionalFormatting xmlns:xm="http://schemas.microsoft.com/office/excel/2006/main">
          <x14:cfRule type="expression" priority="37" id="{7111AEA2-4C7A-464A-A3DC-9F535B3EC741}">
            <xm:f>OR(Oplysningsside!$B$15="C bue",Oplysningsside!$B$15="Mini C bue",Oplysningsside!$B$15="Intervention",Oplysningsside!$B$15="R/F system")</xm:f>
            <x14:dxf>
              <font>
                <color theme="0"/>
              </font>
              <fill>
                <patternFill patternType="solid">
                  <bgColor theme="0" tint="-4.9989318521683403E-2"/>
                </patternFill>
              </fill>
              <border>
                <left style="thin">
                  <color auto="1"/>
                </left>
                <right/>
                <top/>
                <bottom/>
              </border>
            </x14:dxf>
          </x14:cfRule>
          <xm:sqref>L80:L87</xm:sqref>
        </x14:conditionalFormatting>
        <x14:conditionalFormatting xmlns:xm="http://schemas.microsoft.com/office/excel/2006/main">
          <x14:cfRule type="expression" priority="38" id="{97D0DA7A-C6F0-4937-8BAA-5F45A3392B2F}">
            <xm:f>OR(Oplysningsside!$B$15="C bue",Oplysningsside!$B$15="Intervention",Oplysningsside!$B$15="Bi-plan",Oplysningsside!$B$15="R/F system")</xm:f>
            <x14:dxf>
              <font>
                <color theme="0"/>
              </font>
              <fill>
                <patternFill patternType="solid">
                  <bgColor theme="0" tint="-4.9989318521683403E-2"/>
                </patternFill>
              </fill>
              <border>
                <left/>
                <right style="thin">
                  <color auto="1"/>
                </right>
                <top/>
                <bottom style="thin">
                  <color auto="1"/>
                </bottom>
                <vertical/>
                <horizontal/>
              </border>
            </x14:dxf>
          </x14:cfRule>
          <xm:sqref>L168</xm:sqref>
        </x14:conditionalFormatting>
        <x14:conditionalFormatting xmlns:xm="http://schemas.microsoft.com/office/excel/2006/main">
          <x14:cfRule type="expression" priority="40" id="{4229E703-D417-44AA-B43F-805F9BFF0C77}">
            <xm:f>OR(Oplysningsside!$B$15="C bue",Oplysningsside!$B$15="Intervention",Oplysningsside!$B$15="Bi-plan",Oplysningsside!$B$15="R/F system")</xm:f>
            <x14:dxf>
              <font>
                <color theme="0"/>
              </font>
              <fill>
                <patternFill patternType="solid">
                  <bgColor theme="0" tint="-4.9989318521683403E-2"/>
                </patternFill>
              </fill>
              <border>
                <left style="thin">
                  <color auto="1"/>
                </left>
                <right/>
                <top/>
                <bottom/>
                <vertical/>
                <horizontal/>
              </border>
            </x14:dxf>
          </x14:cfRule>
          <xm:sqref>M163:M182</xm:sqref>
        </x14:conditionalFormatting>
        <x14:conditionalFormatting xmlns:xm="http://schemas.microsoft.com/office/excel/2006/main">
          <x14:cfRule type="expression" priority="39" id="{4718DA17-4B00-4AAF-819D-DBB176F684AC}">
            <xm:f>OR(Oplysningsside!$B$15="C bue",Oplysningsside!$B$15="Intervention",Oplysningsside!$B$15="Bi-plan",Oplysningsside!$B$15="R/F system")</xm:f>
            <x14:dxf>
              <font>
                <color theme="0"/>
              </font>
              <fill>
                <patternFill patternType="solid">
                  <bgColor theme="0" tint="-4.9989318521683403E-2"/>
                </patternFill>
              </fill>
              <border>
                <left/>
                <right/>
                <top/>
                <bottom/>
                <vertical/>
                <horizontal/>
              </border>
            </x14:dxf>
          </x14:cfRule>
          <xm:sqref>N163:N182</xm:sqref>
        </x14:conditionalFormatting>
        <x14:conditionalFormatting xmlns:xm="http://schemas.microsoft.com/office/excel/2006/main">
          <x14:cfRule type="expression" priority="15" id="{AEBAA79C-F1B6-4EAB-9E5F-44AEC9C9AFBC}">
            <xm:f>OR(Oplysningsside!$B$15="C bue",Oplysningsside!$B$15="Mini C bue",Oplysningsside!$B$15="Intervention",Oplysningsside!$B$15="R/F system")</xm:f>
            <x14:dxf>
              <font>
                <color theme="0"/>
              </font>
              <fill>
                <patternFill>
                  <bgColor theme="0" tint="-4.9989318521683403E-2"/>
                </patternFill>
              </fill>
              <border>
                <left/>
                <right/>
                <top/>
                <bottom/>
                <vertical/>
                <horizontal/>
              </border>
            </x14:dxf>
          </x14:cfRule>
          <xm:sqref>O224:AA251</xm:sqref>
        </x14:conditionalFormatting>
        <x14:conditionalFormatting xmlns:xm="http://schemas.microsoft.com/office/excel/2006/main">
          <x14:cfRule type="expression" priority="24" id="{E40AADF2-EC66-40FC-B79C-7E839E0B4DC4}">
            <xm:f>OR(Oplysningsside!$B$15="C bue",Oplysningsside!$B$15="Mini C bue",Oplysningsside!$B$15="Intervention",Oplysningsside!$B$15="R/F system")</xm:f>
            <x14:dxf>
              <font>
                <color theme="0"/>
              </font>
              <fill>
                <patternFill>
                  <bgColor theme="0" tint="-4.9989318521683403E-2"/>
                </patternFill>
              </fill>
              <border>
                <left/>
                <right/>
                <top/>
                <bottom/>
                <vertical/>
                <horizontal/>
              </border>
            </x14:dxf>
          </x14:cfRule>
          <xm:sqref>P163:AA182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48A97E75-F823-4031-A9CA-95A84218D947}">
          <x14:formula1>
            <xm:f>Data!$A$5:$A$8</xm:f>
          </x14:formula1>
          <xm:sqref>I86:I87 AA233:AA240 AA244:AA251 O225 AA172:AA175 AA179:AA182 P164 Q53:Q58 M233:M240 M244:M251 A225 L172:L175 L179:L182 A164 I273 O122:O125 M122:M125 A115 K86:K87 A80</xm:sqref>
        </x14:dataValidation>
        <x14:dataValidation type="list" allowBlank="1" showDropDown="1" showInputMessage="1" showErrorMessage="1" xr:uid="{E15F9E87-AE2B-4A4F-BD12-BD18A01E3927}">
          <x14:formula1>
            <xm:f>Data!$F$5:$F$10</xm:f>
          </x14:formula1>
          <xm:sqref>A163 O224 P163 A224</xm:sqref>
        </x14:dataValidation>
        <x14:dataValidation type="list" allowBlank="1" showInputMessage="1" showErrorMessage="1" xr:uid="{74778912-C16F-4E9E-BBF0-BFD5EF352965}">
          <x14:formula1>
            <xm:f>Data!$A$10:$A$13</xm:f>
          </x14:formula1>
          <xm:sqref>P53:P58</xm:sqref>
        </x14:dataValidation>
        <x14:dataValidation type="list" allowBlank="1" showInputMessage="1" showErrorMessage="1" xr:uid="{D09A5A0E-C50B-4C35-9FCA-05AA75D97615}">
          <x14:formula1>
            <xm:f>Data!$A$10:$A$14</xm:f>
          </x14:formula1>
          <xm:sqref>I122:I125 J86:J87</xm:sqref>
        </x14:dataValidation>
        <x14:dataValidation type="list" allowBlank="1" showInputMessage="1" showErrorMessage="1" xr:uid="{61A6F105-EB94-46AB-8ACE-C5C18C547C6D}">
          <x14:formula1>
            <xm:f>Data!$A$10:$A$26</xm:f>
          </x14:formula1>
          <xm:sqref>N122:N125</xm:sqref>
        </x14:dataValidation>
        <x14:dataValidation type="list" allowBlank="1" showInputMessage="1" showErrorMessage="1" xr:uid="{305F6444-A64A-4ECB-9BF0-9348667E6C47}">
          <x14:formula1>
            <xm:f>Data!$I$14:$I$16</xm:f>
          </x14:formula1>
          <xm:sqref>A46</xm:sqref>
        </x14:dataValidation>
        <x14:dataValidation type="list" allowBlank="1" showInputMessage="1" showErrorMessage="1" xr:uid="{441C511B-E6B0-4BEE-95D1-6F98E67FE479}">
          <x14:formula1>
            <xm:f>Data!$M$10:$M$15</xm:f>
          </x14:formula1>
          <xm:sqref>A227 O227 P166 A166 A269 A117</xm:sqref>
        </x14:dataValidation>
        <x14:dataValidation type="list" allowBlank="1" showDropDown="1" showInputMessage="1" showErrorMessage="1" xr:uid="{3FC56ED5-D3CC-424A-B798-0C9B98D2E7C2}">
          <x14:formula1>
            <xm:f>Data!$M$10:$M$15</xm:f>
          </x14:formula1>
          <xm:sqref>A167 P167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678D5E-8081-402C-8C72-E8B24005CC9A}">
  <sheetPr>
    <tabColor rgb="FF92D050"/>
  </sheetPr>
  <dimension ref="A1:W90"/>
  <sheetViews>
    <sheetView zoomScaleNormal="100" workbookViewId="0">
      <selection activeCell="T28" sqref="T28"/>
    </sheetView>
  </sheetViews>
  <sheetFormatPr defaultColWidth="9.109375" defaultRowHeight="14.4" x14ac:dyDescent="0.3"/>
  <cols>
    <col min="1" max="1" width="15.5546875" style="184" customWidth="1"/>
    <col min="2" max="7" width="9.109375" style="184"/>
    <col min="8" max="8" width="28" style="184" customWidth="1"/>
    <col min="9" max="14" width="9.109375" style="184"/>
    <col min="15" max="15" width="11.6640625" style="184" customWidth="1"/>
    <col min="16" max="16384" width="9.109375" style="184"/>
  </cols>
  <sheetData>
    <row r="1" spans="1:19" x14ac:dyDescent="0.3">
      <c r="A1" s="27" t="s">
        <v>1</v>
      </c>
      <c r="B1" s="28"/>
      <c r="C1" s="444" t="str">
        <f>Oplysningsside!B2</f>
        <v>Region H</v>
      </c>
      <c r="D1" s="444"/>
      <c r="E1" s="444"/>
      <c r="F1" s="444"/>
      <c r="G1" s="30" t="s">
        <v>3</v>
      </c>
      <c r="H1" s="28"/>
      <c r="I1" s="444" t="str">
        <f>Oplysningsside!E2</f>
        <v>Modtagekontrol</v>
      </c>
      <c r="J1" s="444"/>
      <c r="K1" s="444"/>
      <c r="L1" s="444"/>
      <c r="M1" s="30" t="s">
        <v>461</v>
      </c>
      <c r="N1" s="28"/>
      <c r="O1" s="399" t="str">
        <f>Oplysningsside!G2</f>
        <v>GE2</v>
      </c>
      <c r="P1" s="399"/>
      <c r="Q1" s="399"/>
      <c r="R1" s="448"/>
    </row>
    <row r="2" spans="1:19" x14ac:dyDescent="0.3">
      <c r="A2" s="32" t="s">
        <v>74</v>
      </c>
      <c r="B2" s="33"/>
      <c r="C2" s="445" t="str">
        <f>Oplysningsside!B3</f>
        <v>HGH Herlev</v>
      </c>
      <c r="D2" s="445"/>
      <c r="E2" s="445"/>
      <c r="F2" s="445"/>
      <c r="G2" s="229" t="s">
        <v>132</v>
      </c>
      <c r="H2" s="229"/>
      <c r="I2" s="445" t="str">
        <f>Oplysningsside!E3</f>
        <v>C bue</v>
      </c>
      <c r="J2" s="445"/>
      <c r="K2" s="445"/>
      <c r="L2" s="445"/>
      <c r="M2" s="35" t="s">
        <v>6</v>
      </c>
      <c r="N2" s="33"/>
      <c r="O2" s="449">
        <f>Oplysningsside!G3</f>
        <v>45475</v>
      </c>
      <c r="P2" s="449"/>
      <c r="Q2" s="449"/>
      <c r="R2" s="450"/>
    </row>
    <row r="3" spans="1:19" x14ac:dyDescent="0.3">
      <c r="A3" s="37" t="s">
        <v>73</v>
      </c>
      <c r="B3" s="33"/>
      <c r="C3" s="445" t="str">
        <f>Oplysningsside!B4</f>
        <v>Røntgen</v>
      </c>
      <c r="D3" s="445"/>
      <c r="E3" s="445"/>
      <c r="F3" s="445"/>
      <c r="G3" s="35" t="s">
        <v>5</v>
      </c>
      <c r="H3" s="33"/>
      <c r="I3" s="445" t="str">
        <f>Oplysningsside!E4</f>
        <v>Fluorostar</v>
      </c>
      <c r="J3" s="445"/>
      <c r="K3" s="445"/>
      <c r="L3" s="445"/>
      <c r="M3" s="35" t="s">
        <v>8</v>
      </c>
      <c r="N3" s="33"/>
      <c r="O3" s="400" t="str">
        <f>Oplysningsside!G4</f>
        <v>EHA</v>
      </c>
      <c r="P3" s="400"/>
      <c r="Q3" s="400"/>
      <c r="R3" s="451"/>
    </row>
    <row r="4" spans="1:19" x14ac:dyDescent="0.3">
      <c r="A4" s="32" t="s">
        <v>9</v>
      </c>
      <c r="B4" s="33"/>
      <c r="C4" s="446" t="str">
        <f>Oplysningsside!B5</f>
        <v>10</v>
      </c>
      <c r="D4" s="446"/>
      <c r="E4" s="446"/>
      <c r="F4" s="446"/>
      <c r="G4" s="35" t="s">
        <v>7</v>
      </c>
      <c r="H4" s="33"/>
      <c r="I4" s="454" t="str">
        <f>Oplysningsside!E5</f>
        <v>1</v>
      </c>
      <c r="J4" s="454"/>
      <c r="K4" s="454"/>
      <c r="L4" s="454"/>
      <c r="M4" s="33" t="s">
        <v>11</v>
      </c>
      <c r="N4" s="33"/>
      <c r="O4" s="449">
        <f>Oplysningsside!G5</f>
        <v>45476</v>
      </c>
      <c r="P4" s="449"/>
      <c r="Q4" s="449"/>
      <c r="R4" s="450"/>
    </row>
    <row r="5" spans="1:19" x14ac:dyDescent="0.3">
      <c r="A5" s="8" t="s">
        <v>585</v>
      </c>
      <c r="B5" s="38"/>
      <c r="C5" s="447">
        <f>Oplysningsside!$B$6</f>
        <v>3</v>
      </c>
      <c r="D5" s="447"/>
      <c r="E5" s="447"/>
      <c r="F5" s="447"/>
      <c r="G5" s="9" t="s">
        <v>460</v>
      </c>
      <c r="H5" s="38"/>
      <c r="I5" s="455">
        <f>Oplysningsside!E6</f>
        <v>2</v>
      </c>
      <c r="J5" s="455"/>
      <c r="K5" s="455"/>
      <c r="L5" s="455"/>
      <c r="M5" s="38"/>
      <c r="N5" s="38"/>
      <c r="O5" s="447"/>
      <c r="P5" s="447"/>
      <c r="Q5" s="447"/>
      <c r="R5" s="452"/>
    </row>
    <row r="7" spans="1:19" ht="25.8" x14ac:dyDescent="0.5">
      <c r="A7" s="40" t="s">
        <v>214</v>
      </c>
      <c r="B7" s="41"/>
      <c r="C7" s="41"/>
      <c r="D7" s="41"/>
      <c r="E7" s="41"/>
      <c r="F7" s="41"/>
      <c r="G7" s="41"/>
      <c r="H7" s="40" t="s">
        <v>483</v>
      </c>
      <c r="I7" s="41"/>
      <c r="J7" s="41"/>
      <c r="K7" s="41"/>
      <c r="L7" s="41"/>
      <c r="M7" s="41"/>
      <c r="N7" s="41"/>
      <c r="O7" s="43" t="s">
        <v>2</v>
      </c>
      <c r="P7" s="41"/>
      <c r="Q7" s="42"/>
      <c r="R7" s="43" t="s">
        <v>2</v>
      </c>
    </row>
    <row r="9" spans="1:19" ht="18" x14ac:dyDescent="0.35">
      <c r="A9" s="46" t="s">
        <v>300</v>
      </c>
      <c r="B9" s="48"/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</row>
    <row r="10" spans="1:19" ht="18" x14ac:dyDescent="0.35">
      <c r="A10" s="46" t="s">
        <v>302</v>
      </c>
      <c r="B10" s="48"/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54"/>
    </row>
    <row r="11" spans="1:19" ht="18" x14ac:dyDescent="0.35">
      <c r="A11" s="46" t="s">
        <v>671</v>
      </c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</row>
    <row r="13" spans="1:19" x14ac:dyDescent="0.3">
      <c r="A13" s="54"/>
      <c r="I13" s="47"/>
      <c r="J13" s="47"/>
      <c r="K13" s="47"/>
      <c r="L13" s="47"/>
      <c r="M13" s="47"/>
      <c r="N13" s="47"/>
      <c r="O13" s="47"/>
      <c r="P13" s="47"/>
      <c r="Q13" s="47"/>
    </row>
    <row r="14" spans="1:19" x14ac:dyDescent="0.3">
      <c r="A14" s="54"/>
      <c r="I14" s="47"/>
      <c r="J14" s="47"/>
      <c r="K14" s="47"/>
      <c r="L14" s="47"/>
      <c r="M14" s="47"/>
      <c r="N14" s="47"/>
      <c r="O14" s="47"/>
      <c r="P14" s="47"/>
      <c r="Q14" s="47"/>
    </row>
    <row r="15" spans="1:19" x14ac:dyDescent="0.3">
      <c r="A15" s="54"/>
      <c r="I15" s="47"/>
      <c r="J15" s="47"/>
      <c r="K15" s="47"/>
      <c r="L15" s="47"/>
      <c r="M15" s="47"/>
      <c r="N15" s="47"/>
      <c r="O15" s="47"/>
      <c r="P15" s="47"/>
      <c r="Q15" s="47"/>
    </row>
    <row r="16" spans="1:19" x14ac:dyDescent="0.3">
      <c r="A16" s="54"/>
      <c r="I16" s="47"/>
      <c r="J16" s="47"/>
      <c r="K16" s="47"/>
      <c r="L16" s="47"/>
      <c r="M16" s="47"/>
      <c r="N16" s="47"/>
      <c r="O16" s="47"/>
      <c r="P16" s="47"/>
      <c r="Q16" s="47"/>
    </row>
    <row r="17" spans="1:23" x14ac:dyDescent="0.3">
      <c r="A17" s="54"/>
      <c r="I17" s="47"/>
      <c r="J17" s="47"/>
      <c r="K17" s="47"/>
      <c r="L17" s="47"/>
      <c r="M17" s="47"/>
      <c r="N17" s="47"/>
      <c r="O17" s="47"/>
      <c r="P17" s="47"/>
      <c r="Q17" s="47"/>
    </row>
    <row r="18" spans="1:23" x14ac:dyDescent="0.3">
      <c r="A18" s="54"/>
      <c r="I18" s="47"/>
      <c r="J18" s="47"/>
      <c r="K18" s="47"/>
      <c r="L18" s="47"/>
      <c r="M18" s="47"/>
      <c r="N18" s="47"/>
      <c r="O18" s="47"/>
      <c r="P18" s="47"/>
      <c r="Q18" s="47"/>
    </row>
    <row r="19" spans="1:23" x14ac:dyDescent="0.3">
      <c r="A19" s="54"/>
      <c r="I19" s="47"/>
      <c r="J19" s="47"/>
      <c r="K19" s="47"/>
      <c r="L19" s="47"/>
      <c r="M19" s="47"/>
      <c r="N19" s="47"/>
      <c r="O19" s="47"/>
      <c r="P19" s="47"/>
      <c r="Q19" s="47"/>
    </row>
    <row r="20" spans="1:23" x14ac:dyDescent="0.3">
      <c r="A20" s="54"/>
      <c r="I20" s="47"/>
      <c r="J20" s="47"/>
      <c r="K20" s="47"/>
      <c r="L20" s="47"/>
      <c r="M20" s="47"/>
      <c r="N20" s="47"/>
      <c r="O20" s="47"/>
      <c r="P20" s="47"/>
      <c r="Q20" s="47"/>
    </row>
    <row r="21" spans="1:23" x14ac:dyDescent="0.3">
      <c r="A21" s="54"/>
      <c r="I21" s="47"/>
      <c r="J21" s="47"/>
      <c r="K21" s="47"/>
      <c r="L21" s="47"/>
      <c r="M21" s="47"/>
      <c r="N21" s="47"/>
      <c r="O21" s="47"/>
      <c r="P21" s="47"/>
      <c r="Q21" s="47"/>
    </row>
    <row r="22" spans="1:23" x14ac:dyDescent="0.3">
      <c r="A22" s="54"/>
      <c r="I22" s="47"/>
      <c r="J22" s="47"/>
      <c r="K22" s="47"/>
      <c r="L22" s="47"/>
      <c r="M22" s="47"/>
      <c r="N22" s="47"/>
      <c r="O22" s="47"/>
      <c r="P22" s="47"/>
      <c r="Q22" s="47"/>
    </row>
    <row r="23" spans="1:23" x14ac:dyDescent="0.3">
      <c r="A23" s="54"/>
      <c r="I23" s="47"/>
      <c r="J23" s="47"/>
      <c r="K23" s="47"/>
      <c r="L23" s="47"/>
      <c r="M23" s="47"/>
      <c r="N23" s="47"/>
      <c r="O23" s="47"/>
      <c r="P23" s="47"/>
      <c r="Q23" s="47"/>
    </row>
    <row r="24" spans="1:23" x14ac:dyDescent="0.3">
      <c r="A24" s="56" t="s">
        <v>301</v>
      </c>
      <c r="B24" s="57"/>
      <c r="C24" s="57"/>
      <c r="D24" s="57"/>
      <c r="E24" s="57"/>
      <c r="F24" s="57"/>
      <c r="G24" s="57"/>
      <c r="H24" s="57"/>
      <c r="I24" s="57"/>
      <c r="J24" s="57"/>
      <c r="K24" s="57"/>
      <c r="L24" s="57"/>
      <c r="M24" s="57"/>
      <c r="N24" s="57"/>
      <c r="O24" s="57"/>
      <c r="P24" s="57"/>
      <c r="Q24" s="57"/>
      <c r="R24" s="57"/>
    </row>
    <row r="26" spans="1:23" x14ac:dyDescent="0.3">
      <c r="I26" s="509" t="s">
        <v>137</v>
      </c>
      <c r="J26" s="509"/>
    </row>
    <row r="27" spans="1:23" x14ac:dyDescent="0.3">
      <c r="A27" s="317" t="s">
        <v>215</v>
      </c>
      <c r="B27" s="318"/>
      <c r="C27" s="318"/>
      <c r="D27" s="318"/>
      <c r="E27" s="318"/>
      <c r="F27" s="318"/>
      <c r="G27" s="318"/>
      <c r="H27" s="319"/>
      <c r="I27" s="320" t="s">
        <v>71</v>
      </c>
      <c r="J27" s="320" t="s">
        <v>129</v>
      </c>
      <c r="K27" s="321" t="s">
        <v>96</v>
      </c>
      <c r="L27" s="322"/>
      <c r="M27" s="312"/>
      <c r="N27" s="312"/>
      <c r="O27" s="312"/>
      <c r="P27" s="312"/>
      <c r="Q27" s="312"/>
      <c r="R27" s="323"/>
      <c r="S27" s="54"/>
      <c r="T27" s="54"/>
      <c r="U27" s="54"/>
      <c r="V27" s="54"/>
      <c r="W27" s="54"/>
    </row>
    <row r="28" spans="1:23" x14ac:dyDescent="0.3">
      <c r="A28" s="422" t="s">
        <v>93</v>
      </c>
      <c r="B28" s="422"/>
      <c r="C28" s="422"/>
      <c r="D28" s="422"/>
      <c r="E28" s="422"/>
      <c r="F28" s="422"/>
      <c r="G28" s="422"/>
      <c r="H28" s="499"/>
      <c r="I28" s="90"/>
      <c r="J28" s="90"/>
      <c r="K28" s="397"/>
      <c r="L28" s="468"/>
      <c r="M28" s="468"/>
      <c r="N28" s="468"/>
      <c r="O28" s="468"/>
      <c r="P28" s="468"/>
      <c r="Q28" s="468"/>
      <c r="R28" s="398"/>
      <c r="S28" s="54"/>
      <c r="T28" s="54"/>
      <c r="U28" s="54"/>
      <c r="V28" s="54"/>
      <c r="W28" s="54"/>
    </row>
    <row r="29" spans="1:23" x14ac:dyDescent="0.3">
      <c r="A29" s="421" t="s">
        <v>176</v>
      </c>
      <c r="B29" s="422"/>
      <c r="C29" s="422"/>
      <c r="D29" s="422"/>
      <c r="E29" s="422"/>
      <c r="F29" s="422"/>
      <c r="G29" s="422"/>
      <c r="H29" s="499"/>
      <c r="I29" s="90"/>
      <c r="J29" s="90"/>
      <c r="K29" s="397"/>
      <c r="L29" s="468"/>
      <c r="M29" s="468"/>
      <c r="N29" s="468"/>
      <c r="O29" s="468"/>
      <c r="P29" s="468"/>
      <c r="Q29" s="468"/>
      <c r="R29" s="398"/>
      <c r="S29" s="54"/>
      <c r="T29" s="54"/>
      <c r="U29" s="54"/>
      <c r="V29" s="54"/>
      <c r="W29" s="54"/>
    </row>
    <row r="30" spans="1:23" x14ac:dyDescent="0.3">
      <c r="A30" s="421" t="s">
        <v>177</v>
      </c>
      <c r="B30" s="422"/>
      <c r="C30" s="422"/>
      <c r="D30" s="422"/>
      <c r="E30" s="422"/>
      <c r="F30" s="422"/>
      <c r="G30" s="422"/>
      <c r="H30" s="499"/>
      <c r="I30" s="90"/>
      <c r="J30" s="90"/>
      <c r="K30" s="397"/>
      <c r="L30" s="468"/>
      <c r="M30" s="468"/>
      <c r="N30" s="468"/>
      <c r="O30" s="468"/>
      <c r="P30" s="468"/>
      <c r="Q30" s="468"/>
      <c r="R30" s="398"/>
      <c r="S30" s="54"/>
      <c r="T30" s="54"/>
      <c r="U30" s="54"/>
      <c r="V30" s="54"/>
      <c r="W30" s="54"/>
    </row>
    <row r="31" spans="1:23" x14ac:dyDescent="0.3">
      <c r="A31" s="421" t="s">
        <v>94</v>
      </c>
      <c r="B31" s="422"/>
      <c r="C31" s="422"/>
      <c r="D31" s="422"/>
      <c r="E31" s="422"/>
      <c r="F31" s="422"/>
      <c r="G31" s="422"/>
      <c r="H31" s="499"/>
      <c r="I31" s="90"/>
      <c r="J31" s="90"/>
      <c r="K31" s="397"/>
      <c r="L31" s="468"/>
      <c r="M31" s="468"/>
      <c r="N31" s="468"/>
      <c r="O31" s="468"/>
      <c r="P31" s="468"/>
      <c r="Q31" s="468"/>
      <c r="R31" s="398"/>
      <c r="S31" s="54"/>
      <c r="T31" s="54"/>
      <c r="U31" s="54"/>
      <c r="V31" s="54"/>
      <c r="W31" s="54"/>
    </row>
    <row r="32" spans="1:23" x14ac:dyDescent="0.3">
      <c r="A32" s="421" t="s">
        <v>95</v>
      </c>
      <c r="B32" s="422"/>
      <c r="C32" s="422"/>
      <c r="D32" s="422"/>
      <c r="E32" s="422"/>
      <c r="F32" s="422"/>
      <c r="G32" s="422"/>
      <c r="H32" s="499"/>
      <c r="I32" s="90"/>
      <c r="J32" s="90"/>
      <c r="K32" s="397"/>
      <c r="L32" s="468"/>
      <c r="M32" s="468"/>
      <c r="N32" s="468"/>
      <c r="O32" s="468"/>
      <c r="P32" s="468"/>
      <c r="Q32" s="468"/>
      <c r="R32" s="398"/>
      <c r="S32" s="54"/>
      <c r="T32" s="54"/>
      <c r="U32" s="54"/>
      <c r="V32" s="54"/>
      <c r="W32" s="54"/>
    </row>
    <row r="33" spans="1:23" x14ac:dyDescent="0.3">
      <c r="A33" s="421" t="s">
        <v>178</v>
      </c>
      <c r="B33" s="422"/>
      <c r="C33" s="422"/>
      <c r="D33" s="422"/>
      <c r="E33" s="422"/>
      <c r="F33" s="422"/>
      <c r="G33" s="422"/>
      <c r="H33" s="499"/>
      <c r="I33" s="90"/>
      <c r="J33" s="90"/>
      <c r="K33" s="397"/>
      <c r="L33" s="468"/>
      <c r="M33" s="468"/>
      <c r="N33" s="468"/>
      <c r="O33" s="468"/>
      <c r="P33" s="468"/>
      <c r="Q33" s="468"/>
      <c r="R33" s="398"/>
      <c r="S33" s="54"/>
      <c r="T33" s="54"/>
      <c r="U33" s="54"/>
      <c r="V33" s="54"/>
      <c r="W33" s="54"/>
    </row>
    <row r="34" spans="1:23" x14ac:dyDescent="0.3">
      <c r="A34" s="397"/>
      <c r="B34" s="468"/>
      <c r="C34" s="468"/>
      <c r="D34" s="468"/>
      <c r="E34" s="468"/>
      <c r="F34" s="468"/>
      <c r="G34" s="468"/>
      <c r="H34" s="398"/>
      <c r="I34" s="90"/>
      <c r="J34" s="90"/>
      <c r="K34" s="397"/>
      <c r="L34" s="468"/>
      <c r="M34" s="468"/>
      <c r="N34" s="468"/>
      <c r="O34" s="468"/>
      <c r="P34" s="468"/>
      <c r="Q34" s="468"/>
      <c r="R34" s="398"/>
      <c r="S34" s="54"/>
      <c r="T34" s="54"/>
      <c r="U34" s="54"/>
      <c r="V34" s="54"/>
      <c r="W34" s="54"/>
    </row>
    <row r="35" spans="1:23" x14ac:dyDescent="0.3">
      <c r="A35" s="397"/>
      <c r="B35" s="468"/>
      <c r="C35" s="468"/>
      <c r="D35" s="468"/>
      <c r="E35" s="468"/>
      <c r="F35" s="468"/>
      <c r="G35" s="468"/>
      <c r="H35" s="398"/>
      <c r="I35" s="90"/>
      <c r="J35" s="90"/>
      <c r="K35" s="397"/>
      <c r="L35" s="468"/>
      <c r="M35" s="468"/>
      <c r="N35" s="468"/>
      <c r="O35" s="468"/>
      <c r="P35" s="468"/>
      <c r="Q35" s="468"/>
      <c r="R35" s="398"/>
      <c r="S35" s="54"/>
      <c r="T35" s="54"/>
      <c r="U35" s="54"/>
      <c r="V35" s="54"/>
      <c r="W35" s="54"/>
    </row>
    <row r="36" spans="1:23" x14ac:dyDescent="0.3">
      <c r="A36" s="397"/>
      <c r="B36" s="468"/>
      <c r="C36" s="468"/>
      <c r="D36" s="468"/>
      <c r="E36" s="468"/>
      <c r="F36" s="468"/>
      <c r="G36" s="468"/>
      <c r="H36" s="398"/>
      <c r="I36" s="90"/>
      <c r="J36" s="90"/>
      <c r="K36" s="397"/>
      <c r="L36" s="468"/>
      <c r="M36" s="468"/>
      <c r="N36" s="468"/>
      <c r="O36" s="468"/>
      <c r="P36" s="468"/>
      <c r="Q36" s="468"/>
      <c r="R36" s="398"/>
      <c r="S36" s="54"/>
      <c r="T36" s="54"/>
      <c r="U36" s="54"/>
      <c r="V36" s="54"/>
      <c r="W36" s="54"/>
    </row>
    <row r="37" spans="1:23" x14ac:dyDescent="0.3">
      <c r="A37" s="397"/>
      <c r="B37" s="468"/>
      <c r="C37" s="468"/>
      <c r="D37" s="468"/>
      <c r="E37" s="468"/>
      <c r="F37" s="468"/>
      <c r="G37" s="468"/>
      <c r="H37" s="398"/>
      <c r="I37" s="90"/>
      <c r="J37" s="90"/>
      <c r="K37" s="397"/>
      <c r="L37" s="468"/>
      <c r="M37" s="468"/>
      <c r="N37" s="468"/>
      <c r="O37" s="468"/>
      <c r="P37" s="468"/>
      <c r="Q37" s="468"/>
      <c r="R37" s="398"/>
      <c r="S37" s="54"/>
      <c r="T37" s="54"/>
      <c r="U37" s="54"/>
      <c r="V37" s="54"/>
      <c r="W37" s="54"/>
    </row>
    <row r="38" spans="1:23" x14ac:dyDescent="0.3">
      <c r="A38" s="317" t="s">
        <v>302</v>
      </c>
      <c r="B38" s="318"/>
      <c r="C38" s="318"/>
      <c r="D38" s="318"/>
      <c r="E38" s="318"/>
      <c r="F38" s="318"/>
      <c r="G38" s="318"/>
      <c r="H38" s="319"/>
      <c r="I38" s="320" t="s">
        <v>71</v>
      </c>
      <c r="J38" s="320" t="s">
        <v>129</v>
      </c>
      <c r="K38" s="321" t="s">
        <v>96</v>
      </c>
      <c r="L38" s="312"/>
      <c r="M38" s="312"/>
      <c r="N38" s="312"/>
      <c r="O38" s="312"/>
      <c r="P38" s="312"/>
      <c r="Q38" s="312"/>
      <c r="R38" s="323"/>
      <c r="S38" s="54"/>
      <c r="T38" s="54"/>
      <c r="U38" s="54"/>
      <c r="V38" s="54"/>
      <c r="W38" s="54"/>
    </row>
    <row r="39" spans="1:23" x14ac:dyDescent="0.3">
      <c r="A39" s="496" t="s">
        <v>179</v>
      </c>
      <c r="B39" s="497"/>
      <c r="C39" s="497"/>
      <c r="D39" s="497"/>
      <c r="E39" s="497"/>
      <c r="F39" s="497"/>
      <c r="G39" s="497"/>
      <c r="H39" s="498"/>
      <c r="I39" s="90"/>
      <c r="J39" s="90"/>
      <c r="K39" s="397"/>
      <c r="L39" s="468"/>
      <c r="M39" s="468"/>
      <c r="N39" s="468"/>
      <c r="O39" s="468"/>
      <c r="P39" s="468"/>
      <c r="Q39" s="468"/>
      <c r="R39" s="398"/>
      <c r="S39" s="239"/>
      <c r="T39" s="239"/>
      <c r="U39" s="239"/>
      <c r="V39" s="239"/>
      <c r="W39" s="54"/>
    </row>
    <row r="40" spans="1:23" x14ac:dyDescent="0.3">
      <c r="A40" s="493" t="s">
        <v>180</v>
      </c>
      <c r="B40" s="494"/>
      <c r="C40" s="494"/>
      <c r="D40" s="494"/>
      <c r="E40" s="494"/>
      <c r="F40" s="494"/>
      <c r="G40" s="494"/>
      <c r="H40" s="495"/>
      <c r="I40" s="90"/>
      <c r="J40" s="90"/>
      <c r="K40" s="397"/>
      <c r="L40" s="468"/>
      <c r="M40" s="468"/>
      <c r="N40" s="468"/>
      <c r="O40" s="468"/>
      <c r="P40" s="468"/>
      <c r="Q40" s="468"/>
      <c r="R40" s="398"/>
      <c r="S40" s="239"/>
      <c r="T40" s="239"/>
      <c r="U40" s="239"/>
      <c r="V40" s="239"/>
      <c r="W40" s="54"/>
    </row>
    <row r="41" spans="1:23" x14ac:dyDescent="0.3">
      <c r="A41" s="493" t="s">
        <v>181</v>
      </c>
      <c r="B41" s="494"/>
      <c r="C41" s="494"/>
      <c r="D41" s="494"/>
      <c r="E41" s="494"/>
      <c r="F41" s="494"/>
      <c r="G41" s="494"/>
      <c r="H41" s="495"/>
      <c r="I41" s="90"/>
      <c r="J41" s="90"/>
      <c r="K41" s="397"/>
      <c r="L41" s="468"/>
      <c r="M41" s="468"/>
      <c r="N41" s="468"/>
      <c r="O41" s="468"/>
      <c r="P41" s="468"/>
      <c r="Q41" s="468"/>
      <c r="R41" s="398"/>
      <c r="S41" s="239"/>
      <c r="T41" s="239"/>
      <c r="U41" s="239"/>
      <c r="V41" s="239"/>
      <c r="W41" s="54"/>
    </row>
    <row r="42" spans="1:23" x14ac:dyDescent="0.3">
      <c r="A42" s="493" t="s">
        <v>182</v>
      </c>
      <c r="B42" s="494"/>
      <c r="C42" s="494"/>
      <c r="D42" s="494"/>
      <c r="E42" s="494"/>
      <c r="F42" s="494"/>
      <c r="G42" s="494"/>
      <c r="H42" s="495"/>
      <c r="I42" s="90"/>
      <c r="J42" s="90"/>
      <c r="K42" s="397"/>
      <c r="L42" s="468"/>
      <c r="M42" s="468"/>
      <c r="N42" s="468"/>
      <c r="O42" s="468"/>
      <c r="P42" s="468"/>
      <c r="Q42" s="468"/>
      <c r="R42" s="398"/>
      <c r="S42" s="239"/>
      <c r="T42" s="239"/>
      <c r="U42" s="239"/>
      <c r="V42" s="239"/>
      <c r="W42" s="54"/>
    </row>
    <row r="43" spans="1:23" x14ac:dyDescent="0.3">
      <c r="A43" s="493" t="s">
        <v>183</v>
      </c>
      <c r="B43" s="494"/>
      <c r="C43" s="494"/>
      <c r="D43" s="494"/>
      <c r="E43" s="494"/>
      <c r="F43" s="494"/>
      <c r="G43" s="494"/>
      <c r="H43" s="495"/>
      <c r="I43" s="90"/>
      <c r="J43" s="90"/>
      <c r="K43" s="397"/>
      <c r="L43" s="468"/>
      <c r="M43" s="468"/>
      <c r="N43" s="468"/>
      <c r="O43" s="468"/>
      <c r="P43" s="468"/>
      <c r="Q43" s="468"/>
      <c r="R43" s="398"/>
      <c r="S43" s="239"/>
      <c r="T43" s="239"/>
      <c r="U43" s="239"/>
      <c r="V43" s="239"/>
      <c r="W43" s="54"/>
    </row>
    <row r="44" spans="1:23" x14ac:dyDescent="0.3">
      <c r="A44" s="493" t="s">
        <v>184</v>
      </c>
      <c r="B44" s="494"/>
      <c r="C44" s="494"/>
      <c r="D44" s="494"/>
      <c r="E44" s="494"/>
      <c r="F44" s="494"/>
      <c r="G44" s="494"/>
      <c r="H44" s="495"/>
      <c r="I44" s="90"/>
      <c r="J44" s="90"/>
      <c r="K44" s="397"/>
      <c r="L44" s="468"/>
      <c r="M44" s="468"/>
      <c r="N44" s="468"/>
      <c r="O44" s="468"/>
      <c r="P44" s="468"/>
      <c r="Q44" s="468"/>
      <c r="R44" s="398"/>
      <c r="S44" s="239"/>
      <c r="T44" s="239"/>
      <c r="U44" s="239"/>
      <c r="V44" s="239"/>
      <c r="W44" s="54"/>
    </row>
    <row r="45" spans="1:23" x14ac:dyDescent="0.3">
      <c r="A45" s="493" t="s">
        <v>185</v>
      </c>
      <c r="B45" s="494"/>
      <c r="C45" s="494"/>
      <c r="D45" s="494"/>
      <c r="E45" s="494"/>
      <c r="F45" s="494"/>
      <c r="G45" s="494"/>
      <c r="H45" s="495"/>
      <c r="I45" s="90"/>
      <c r="J45" s="90"/>
      <c r="K45" s="397"/>
      <c r="L45" s="468"/>
      <c r="M45" s="468"/>
      <c r="N45" s="468"/>
      <c r="O45" s="468"/>
      <c r="P45" s="468"/>
      <c r="Q45" s="468"/>
      <c r="R45" s="398"/>
      <c r="S45" s="239"/>
      <c r="T45" s="239"/>
      <c r="U45" s="239"/>
      <c r="V45" s="239"/>
      <c r="W45" s="54"/>
    </row>
    <row r="46" spans="1:23" x14ac:dyDescent="0.3">
      <c r="A46" s="493" t="s">
        <v>186</v>
      </c>
      <c r="B46" s="494"/>
      <c r="C46" s="494"/>
      <c r="D46" s="494"/>
      <c r="E46" s="494"/>
      <c r="F46" s="494"/>
      <c r="G46" s="494"/>
      <c r="H46" s="495"/>
      <c r="I46" s="90"/>
      <c r="J46" s="90"/>
      <c r="K46" s="397"/>
      <c r="L46" s="468"/>
      <c r="M46" s="468"/>
      <c r="N46" s="468"/>
      <c r="O46" s="468"/>
      <c r="P46" s="468"/>
      <c r="Q46" s="468"/>
      <c r="R46" s="398"/>
      <c r="S46" s="239"/>
      <c r="T46" s="239"/>
      <c r="U46" s="239"/>
      <c r="V46" s="239"/>
      <c r="W46" s="54"/>
    </row>
    <row r="47" spans="1:23" x14ac:dyDescent="0.3">
      <c r="A47" s="493" t="s">
        <v>187</v>
      </c>
      <c r="B47" s="494"/>
      <c r="C47" s="494"/>
      <c r="D47" s="494"/>
      <c r="E47" s="494"/>
      <c r="F47" s="494"/>
      <c r="G47" s="494"/>
      <c r="H47" s="495"/>
      <c r="I47" s="90"/>
      <c r="J47" s="90"/>
      <c r="K47" s="397"/>
      <c r="L47" s="468"/>
      <c r="M47" s="468"/>
      <c r="N47" s="468"/>
      <c r="O47" s="468"/>
      <c r="P47" s="468"/>
      <c r="Q47" s="468"/>
      <c r="R47" s="398"/>
      <c r="S47" s="239"/>
      <c r="T47" s="239"/>
      <c r="U47" s="239"/>
      <c r="V47" s="239"/>
      <c r="W47" s="54"/>
    </row>
    <row r="48" spans="1:23" x14ac:dyDescent="0.3">
      <c r="A48" s="493" t="s">
        <v>188</v>
      </c>
      <c r="B48" s="494"/>
      <c r="C48" s="494"/>
      <c r="D48" s="494"/>
      <c r="E48" s="494"/>
      <c r="F48" s="494"/>
      <c r="G48" s="494"/>
      <c r="H48" s="495"/>
      <c r="I48" s="90"/>
      <c r="J48" s="90"/>
      <c r="K48" s="397"/>
      <c r="L48" s="468"/>
      <c r="M48" s="468"/>
      <c r="N48" s="468"/>
      <c r="O48" s="468"/>
      <c r="P48" s="468"/>
      <c r="Q48" s="468"/>
      <c r="R48" s="398"/>
      <c r="S48" s="239"/>
      <c r="T48" s="239"/>
      <c r="U48" s="239"/>
      <c r="V48" s="239"/>
      <c r="W48" s="54"/>
    </row>
    <row r="49" spans="1:23" x14ac:dyDescent="0.3">
      <c r="A49" s="493" t="s">
        <v>189</v>
      </c>
      <c r="B49" s="494"/>
      <c r="C49" s="494"/>
      <c r="D49" s="494"/>
      <c r="E49" s="494"/>
      <c r="F49" s="494"/>
      <c r="G49" s="494"/>
      <c r="H49" s="495"/>
      <c r="I49" s="90"/>
      <c r="J49" s="90"/>
      <c r="K49" s="397"/>
      <c r="L49" s="468"/>
      <c r="M49" s="468"/>
      <c r="N49" s="468"/>
      <c r="O49" s="468"/>
      <c r="P49" s="468"/>
      <c r="Q49" s="468"/>
      <c r="R49" s="398"/>
      <c r="S49" s="239"/>
      <c r="T49" s="239"/>
      <c r="U49" s="239"/>
      <c r="V49" s="239"/>
      <c r="W49" s="54"/>
    </row>
    <row r="50" spans="1:23" x14ac:dyDescent="0.3">
      <c r="A50" s="493" t="s">
        <v>98</v>
      </c>
      <c r="B50" s="494"/>
      <c r="C50" s="494"/>
      <c r="D50" s="494"/>
      <c r="E50" s="494"/>
      <c r="F50" s="494"/>
      <c r="G50" s="494"/>
      <c r="H50" s="495"/>
      <c r="I50" s="90"/>
      <c r="J50" s="90"/>
      <c r="K50" s="397"/>
      <c r="L50" s="468"/>
      <c r="M50" s="468"/>
      <c r="N50" s="468"/>
      <c r="O50" s="468"/>
      <c r="P50" s="468"/>
      <c r="Q50" s="468"/>
      <c r="R50" s="398"/>
      <c r="S50" s="239"/>
      <c r="T50" s="239"/>
      <c r="U50" s="239"/>
      <c r="V50" s="239"/>
      <c r="W50" s="54"/>
    </row>
    <row r="51" spans="1:23" x14ac:dyDescent="0.3">
      <c r="A51" s="493" t="s">
        <v>99</v>
      </c>
      <c r="B51" s="494"/>
      <c r="C51" s="494"/>
      <c r="D51" s="494"/>
      <c r="E51" s="494"/>
      <c r="F51" s="494"/>
      <c r="G51" s="494"/>
      <c r="H51" s="495"/>
      <c r="I51" s="90"/>
      <c r="J51" s="90"/>
      <c r="K51" s="397"/>
      <c r="L51" s="468"/>
      <c r="M51" s="468"/>
      <c r="N51" s="468"/>
      <c r="O51" s="468"/>
      <c r="P51" s="468"/>
      <c r="Q51" s="468"/>
      <c r="R51" s="398"/>
      <c r="S51" s="239"/>
      <c r="T51" s="239"/>
      <c r="U51" s="239"/>
      <c r="V51" s="239"/>
      <c r="W51" s="54"/>
    </row>
    <row r="52" spans="1:23" x14ac:dyDescent="0.3">
      <c r="A52" s="493" t="s">
        <v>190</v>
      </c>
      <c r="B52" s="494"/>
      <c r="C52" s="494"/>
      <c r="D52" s="494"/>
      <c r="E52" s="494"/>
      <c r="F52" s="494"/>
      <c r="G52" s="494"/>
      <c r="H52" s="495"/>
      <c r="I52" s="90"/>
      <c r="J52" s="90"/>
      <c r="K52" s="397"/>
      <c r="L52" s="468"/>
      <c r="M52" s="468"/>
      <c r="N52" s="468"/>
      <c r="O52" s="468"/>
      <c r="P52" s="468"/>
      <c r="Q52" s="468"/>
      <c r="R52" s="398"/>
      <c r="S52" s="239"/>
      <c r="T52" s="239"/>
      <c r="U52" s="239"/>
      <c r="V52" s="239"/>
      <c r="W52" s="54"/>
    </row>
    <row r="53" spans="1:23" x14ac:dyDescent="0.3">
      <c r="A53" s="493" t="s">
        <v>191</v>
      </c>
      <c r="B53" s="494"/>
      <c r="C53" s="494"/>
      <c r="D53" s="494"/>
      <c r="E53" s="494"/>
      <c r="F53" s="494"/>
      <c r="G53" s="494"/>
      <c r="H53" s="495"/>
      <c r="I53" s="90"/>
      <c r="J53" s="90"/>
      <c r="K53" s="397"/>
      <c r="L53" s="468"/>
      <c r="M53" s="468"/>
      <c r="N53" s="468"/>
      <c r="O53" s="468"/>
      <c r="P53" s="468"/>
      <c r="Q53" s="468"/>
      <c r="R53" s="398"/>
      <c r="S53" s="239"/>
      <c r="T53" s="239"/>
      <c r="U53" s="239"/>
      <c r="V53" s="239"/>
      <c r="W53" s="54"/>
    </row>
    <row r="54" spans="1:23" x14ac:dyDescent="0.3">
      <c r="A54" s="468"/>
      <c r="B54" s="468"/>
      <c r="C54" s="468"/>
      <c r="D54" s="468"/>
      <c r="E54" s="468"/>
      <c r="F54" s="468"/>
      <c r="G54" s="468"/>
      <c r="H54" s="398"/>
      <c r="I54" s="90"/>
      <c r="J54" s="90"/>
      <c r="K54" s="397"/>
      <c r="L54" s="468"/>
      <c r="M54" s="468"/>
      <c r="N54" s="468"/>
      <c r="O54" s="468"/>
      <c r="P54" s="468"/>
      <c r="Q54" s="468"/>
      <c r="R54" s="398"/>
      <c r="S54" s="239"/>
      <c r="T54" s="239"/>
      <c r="U54" s="239"/>
      <c r="V54" s="239"/>
      <c r="W54" s="54"/>
    </row>
    <row r="55" spans="1:23" x14ac:dyDescent="0.3">
      <c r="A55" s="506"/>
      <c r="B55" s="507"/>
      <c r="C55" s="507"/>
      <c r="D55" s="507"/>
      <c r="E55" s="507"/>
      <c r="F55" s="507"/>
      <c r="G55" s="507"/>
      <c r="H55" s="508"/>
      <c r="I55" s="90"/>
      <c r="J55" s="90"/>
      <c r="K55" s="397"/>
      <c r="L55" s="468"/>
      <c r="M55" s="468"/>
      <c r="N55" s="468"/>
      <c r="O55" s="468"/>
      <c r="P55" s="468"/>
      <c r="Q55" s="468"/>
      <c r="R55" s="398"/>
      <c r="S55" s="239"/>
      <c r="T55" s="239"/>
      <c r="U55" s="239"/>
      <c r="V55" s="239"/>
      <c r="W55" s="54"/>
    </row>
    <row r="56" spans="1:23" x14ac:dyDescent="0.3">
      <c r="A56" s="496" t="s">
        <v>192</v>
      </c>
      <c r="B56" s="497"/>
      <c r="C56" s="497"/>
      <c r="D56" s="497"/>
      <c r="E56" s="497"/>
      <c r="F56" s="497"/>
      <c r="G56" s="497"/>
      <c r="H56" s="498"/>
      <c r="I56" s="90"/>
      <c r="J56" s="90"/>
      <c r="K56" s="397"/>
      <c r="L56" s="468"/>
      <c r="M56" s="468"/>
      <c r="N56" s="468"/>
      <c r="O56" s="468"/>
      <c r="P56" s="468"/>
      <c r="Q56" s="468"/>
      <c r="R56" s="398"/>
      <c r="S56" s="239"/>
      <c r="T56" s="239"/>
      <c r="U56" s="239"/>
      <c r="V56" s="239"/>
      <c r="W56" s="54"/>
    </row>
    <row r="57" spans="1:23" x14ac:dyDescent="0.3">
      <c r="A57" s="493" t="s">
        <v>97</v>
      </c>
      <c r="B57" s="494"/>
      <c r="C57" s="494"/>
      <c r="D57" s="494"/>
      <c r="E57" s="494"/>
      <c r="F57" s="494"/>
      <c r="G57" s="494"/>
      <c r="H57" s="495"/>
      <c r="I57" s="90"/>
      <c r="J57" s="90"/>
      <c r="K57" s="397"/>
      <c r="L57" s="468"/>
      <c r="M57" s="468"/>
      <c r="N57" s="468"/>
      <c r="O57" s="468"/>
      <c r="P57" s="468"/>
      <c r="Q57" s="468"/>
      <c r="R57" s="398"/>
      <c r="S57" s="239"/>
      <c r="T57" s="239"/>
      <c r="U57" s="239"/>
      <c r="V57" s="239"/>
      <c r="W57" s="54"/>
    </row>
    <row r="58" spans="1:23" x14ac:dyDescent="0.3">
      <c r="A58" s="493" t="s">
        <v>181</v>
      </c>
      <c r="B58" s="494"/>
      <c r="C58" s="494"/>
      <c r="D58" s="494"/>
      <c r="E58" s="494"/>
      <c r="F58" s="494"/>
      <c r="G58" s="494"/>
      <c r="H58" s="495"/>
      <c r="I58" s="90"/>
      <c r="J58" s="90"/>
      <c r="K58" s="397"/>
      <c r="L58" s="468"/>
      <c r="M58" s="468"/>
      <c r="N58" s="468"/>
      <c r="O58" s="468"/>
      <c r="P58" s="468"/>
      <c r="Q58" s="468"/>
      <c r="R58" s="398"/>
      <c r="S58" s="239"/>
      <c r="T58" s="239"/>
      <c r="U58" s="239"/>
      <c r="V58" s="239"/>
      <c r="W58" s="54"/>
    </row>
    <row r="59" spans="1:23" x14ac:dyDescent="0.3">
      <c r="A59" s="493" t="s">
        <v>182</v>
      </c>
      <c r="B59" s="494"/>
      <c r="C59" s="494"/>
      <c r="D59" s="494"/>
      <c r="E59" s="494"/>
      <c r="F59" s="494"/>
      <c r="G59" s="494"/>
      <c r="H59" s="495"/>
      <c r="I59" s="90"/>
      <c r="J59" s="90"/>
      <c r="K59" s="397"/>
      <c r="L59" s="468"/>
      <c r="M59" s="468"/>
      <c r="N59" s="468"/>
      <c r="O59" s="468"/>
      <c r="P59" s="468"/>
      <c r="Q59" s="468"/>
      <c r="R59" s="398"/>
      <c r="S59" s="239"/>
      <c r="T59" s="239"/>
      <c r="U59" s="239"/>
      <c r="V59" s="239"/>
      <c r="W59" s="54"/>
    </row>
    <row r="60" spans="1:23" x14ac:dyDescent="0.3">
      <c r="A60" s="493" t="s">
        <v>193</v>
      </c>
      <c r="B60" s="494"/>
      <c r="C60" s="494"/>
      <c r="D60" s="494"/>
      <c r="E60" s="494"/>
      <c r="F60" s="494"/>
      <c r="G60" s="494"/>
      <c r="H60" s="495"/>
      <c r="I60" s="90"/>
      <c r="J60" s="90"/>
      <c r="K60" s="397"/>
      <c r="L60" s="468"/>
      <c r="M60" s="468"/>
      <c r="N60" s="468"/>
      <c r="O60" s="468"/>
      <c r="P60" s="468"/>
      <c r="Q60" s="468"/>
      <c r="R60" s="398"/>
      <c r="S60" s="239"/>
      <c r="T60" s="239"/>
      <c r="U60" s="239"/>
      <c r="V60" s="239"/>
      <c r="W60" s="54"/>
    </row>
    <row r="61" spans="1:23" x14ac:dyDescent="0.3">
      <c r="A61" s="493" t="s">
        <v>184</v>
      </c>
      <c r="B61" s="494"/>
      <c r="C61" s="494"/>
      <c r="D61" s="494"/>
      <c r="E61" s="494"/>
      <c r="F61" s="494"/>
      <c r="G61" s="494"/>
      <c r="H61" s="495"/>
      <c r="I61" s="90"/>
      <c r="J61" s="90"/>
      <c r="K61" s="397"/>
      <c r="L61" s="468"/>
      <c r="M61" s="468"/>
      <c r="N61" s="468"/>
      <c r="O61" s="468"/>
      <c r="P61" s="468"/>
      <c r="Q61" s="468"/>
      <c r="R61" s="398"/>
      <c r="S61" s="239"/>
      <c r="T61" s="239"/>
      <c r="U61" s="239"/>
      <c r="V61" s="239"/>
      <c r="W61" s="54"/>
    </row>
    <row r="62" spans="1:23" x14ac:dyDescent="0.3">
      <c r="A62" s="493" t="s">
        <v>764</v>
      </c>
      <c r="B62" s="494"/>
      <c r="C62" s="494"/>
      <c r="D62" s="494"/>
      <c r="E62" s="494"/>
      <c r="F62" s="494"/>
      <c r="G62" s="494"/>
      <c r="H62" s="495"/>
      <c r="I62" s="90"/>
      <c r="J62" s="90"/>
      <c r="K62" s="397"/>
      <c r="L62" s="468"/>
      <c r="M62" s="468"/>
      <c r="N62" s="468"/>
      <c r="O62" s="468"/>
      <c r="P62" s="468"/>
      <c r="Q62" s="468"/>
      <c r="R62" s="398"/>
      <c r="S62" s="239"/>
      <c r="T62" s="239"/>
      <c r="U62" s="239"/>
      <c r="V62" s="239"/>
      <c r="W62" s="54"/>
    </row>
    <row r="63" spans="1:23" x14ac:dyDescent="0.3">
      <c r="A63" s="506"/>
      <c r="B63" s="507"/>
      <c r="C63" s="507"/>
      <c r="D63" s="507"/>
      <c r="E63" s="507"/>
      <c r="F63" s="507"/>
      <c r="G63" s="507"/>
      <c r="H63" s="508"/>
      <c r="I63" s="90"/>
      <c r="J63" s="90"/>
      <c r="K63" s="397"/>
      <c r="L63" s="468"/>
      <c r="M63" s="468"/>
      <c r="N63" s="468"/>
      <c r="O63" s="468"/>
      <c r="P63" s="468"/>
      <c r="Q63" s="468"/>
      <c r="R63" s="398"/>
      <c r="S63" s="239"/>
      <c r="T63" s="239"/>
      <c r="U63" s="239"/>
      <c r="V63" s="239"/>
      <c r="W63" s="54"/>
    </row>
    <row r="64" spans="1:23" x14ac:dyDescent="0.3">
      <c r="A64" s="506"/>
      <c r="B64" s="507"/>
      <c r="C64" s="507"/>
      <c r="D64" s="507"/>
      <c r="E64" s="507"/>
      <c r="F64" s="507"/>
      <c r="G64" s="507"/>
      <c r="H64" s="508"/>
      <c r="I64" s="90"/>
      <c r="J64" s="90"/>
      <c r="K64" s="397"/>
      <c r="L64" s="468"/>
      <c r="M64" s="468"/>
      <c r="N64" s="468"/>
      <c r="O64" s="468"/>
      <c r="P64" s="468"/>
      <c r="Q64" s="468"/>
      <c r="R64" s="398"/>
      <c r="S64" s="239"/>
      <c r="T64" s="239"/>
      <c r="U64" s="239"/>
      <c r="V64" s="239"/>
      <c r="W64" s="54"/>
    </row>
    <row r="65" spans="1:23" x14ac:dyDescent="0.3">
      <c r="A65" s="496" t="s">
        <v>194</v>
      </c>
      <c r="B65" s="497"/>
      <c r="C65" s="497"/>
      <c r="D65" s="497"/>
      <c r="E65" s="497"/>
      <c r="F65" s="497"/>
      <c r="G65" s="497"/>
      <c r="H65" s="498"/>
      <c r="I65" s="90"/>
      <c r="J65" s="90"/>
      <c r="K65" s="397"/>
      <c r="L65" s="468"/>
      <c r="M65" s="468"/>
      <c r="N65" s="468"/>
      <c r="O65" s="468"/>
      <c r="P65" s="468"/>
      <c r="Q65" s="468"/>
      <c r="R65" s="398"/>
      <c r="S65" s="239"/>
      <c r="T65" s="239"/>
      <c r="U65" s="239"/>
      <c r="V65" s="239"/>
      <c r="W65" s="54"/>
    </row>
    <row r="66" spans="1:23" x14ac:dyDescent="0.3">
      <c r="A66" s="493" t="s">
        <v>99</v>
      </c>
      <c r="B66" s="494"/>
      <c r="C66" s="494"/>
      <c r="D66" s="494"/>
      <c r="E66" s="494"/>
      <c r="F66" s="494"/>
      <c r="G66" s="494"/>
      <c r="H66" s="495"/>
      <c r="I66" s="90"/>
      <c r="J66" s="90"/>
      <c r="K66" s="397"/>
      <c r="L66" s="468"/>
      <c r="M66" s="468"/>
      <c r="N66" s="468"/>
      <c r="O66" s="468"/>
      <c r="P66" s="468"/>
      <c r="Q66" s="468"/>
      <c r="R66" s="398"/>
      <c r="S66" s="239"/>
      <c r="T66" s="239"/>
      <c r="U66" s="239"/>
      <c r="V66" s="239"/>
      <c r="W66" s="54"/>
    </row>
    <row r="67" spans="1:23" x14ac:dyDescent="0.3">
      <c r="A67" s="493" t="s">
        <v>195</v>
      </c>
      <c r="B67" s="494"/>
      <c r="C67" s="494"/>
      <c r="D67" s="494"/>
      <c r="E67" s="494"/>
      <c r="F67" s="494"/>
      <c r="G67" s="494"/>
      <c r="H67" s="495"/>
      <c r="I67" s="90"/>
      <c r="J67" s="90"/>
      <c r="K67" s="397"/>
      <c r="L67" s="468"/>
      <c r="M67" s="468"/>
      <c r="N67" s="468"/>
      <c r="O67" s="468"/>
      <c r="P67" s="468"/>
      <c r="Q67" s="468"/>
      <c r="R67" s="398"/>
      <c r="S67" s="239"/>
      <c r="T67" s="239"/>
      <c r="U67" s="239"/>
      <c r="V67" s="239"/>
      <c r="W67" s="54"/>
    </row>
    <row r="68" spans="1:23" x14ac:dyDescent="0.3">
      <c r="A68" s="506"/>
      <c r="B68" s="507"/>
      <c r="C68" s="507"/>
      <c r="D68" s="507"/>
      <c r="E68" s="507"/>
      <c r="F68" s="507"/>
      <c r="G68" s="507"/>
      <c r="H68" s="508"/>
      <c r="I68" s="90"/>
      <c r="J68" s="90"/>
      <c r="K68" s="397"/>
      <c r="L68" s="468"/>
      <c r="M68" s="468"/>
      <c r="N68" s="468"/>
      <c r="O68" s="468"/>
      <c r="P68" s="468"/>
      <c r="Q68" s="468"/>
      <c r="R68" s="398"/>
      <c r="S68" s="239"/>
      <c r="T68" s="239"/>
      <c r="U68" s="239"/>
      <c r="V68" s="239"/>
      <c r="W68" s="54"/>
    </row>
    <row r="69" spans="1:23" x14ac:dyDescent="0.3">
      <c r="A69" s="506"/>
      <c r="B69" s="507"/>
      <c r="C69" s="507"/>
      <c r="D69" s="507"/>
      <c r="E69" s="507"/>
      <c r="F69" s="507"/>
      <c r="G69" s="507"/>
      <c r="H69" s="508"/>
      <c r="I69" s="90"/>
      <c r="J69" s="90"/>
      <c r="K69" s="397"/>
      <c r="L69" s="468"/>
      <c r="M69" s="468"/>
      <c r="N69" s="468"/>
      <c r="O69" s="468"/>
      <c r="P69" s="468"/>
      <c r="Q69" s="468"/>
      <c r="R69" s="398"/>
      <c r="S69" s="239"/>
      <c r="T69" s="239"/>
      <c r="U69" s="239"/>
      <c r="V69" s="239"/>
      <c r="W69" s="54"/>
    </row>
    <row r="70" spans="1:23" x14ac:dyDescent="0.3">
      <c r="A70" s="506"/>
      <c r="B70" s="507"/>
      <c r="C70" s="507"/>
      <c r="D70" s="507"/>
      <c r="E70" s="507"/>
      <c r="F70" s="507"/>
      <c r="G70" s="507"/>
      <c r="H70" s="508"/>
      <c r="I70" s="90"/>
      <c r="J70" s="90"/>
      <c r="K70" s="397"/>
      <c r="L70" s="468"/>
      <c r="M70" s="468"/>
      <c r="N70" s="468"/>
      <c r="O70" s="468"/>
      <c r="P70" s="468"/>
      <c r="Q70" s="468"/>
      <c r="R70" s="398"/>
      <c r="S70" s="239"/>
      <c r="T70" s="239"/>
      <c r="U70" s="239"/>
      <c r="V70" s="239"/>
      <c r="W70" s="54"/>
    </row>
    <row r="71" spans="1:23" x14ac:dyDescent="0.3">
      <c r="A71" s="506"/>
      <c r="B71" s="507"/>
      <c r="C71" s="507"/>
      <c r="D71" s="507"/>
      <c r="E71" s="507"/>
      <c r="F71" s="507"/>
      <c r="G71" s="507"/>
      <c r="H71" s="508"/>
      <c r="I71" s="90"/>
      <c r="J71" s="90"/>
      <c r="K71" s="397"/>
      <c r="L71" s="468"/>
      <c r="M71" s="468"/>
      <c r="N71" s="468"/>
      <c r="O71" s="468"/>
      <c r="P71" s="468"/>
      <c r="Q71" s="468"/>
      <c r="R71" s="398"/>
      <c r="S71" s="239"/>
      <c r="T71" s="239"/>
      <c r="U71" s="239"/>
      <c r="V71" s="239"/>
      <c r="W71" s="54"/>
    </row>
    <row r="72" spans="1:23" x14ac:dyDescent="0.3">
      <c r="A72" s="506"/>
      <c r="B72" s="507"/>
      <c r="C72" s="507"/>
      <c r="D72" s="507"/>
      <c r="E72" s="507"/>
      <c r="F72" s="507"/>
      <c r="G72" s="507"/>
      <c r="H72" s="508"/>
      <c r="I72" s="90"/>
      <c r="J72" s="90"/>
      <c r="K72" s="397"/>
      <c r="L72" s="468"/>
      <c r="M72" s="468"/>
      <c r="N72" s="468"/>
      <c r="O72" s="468"/>
      <c r="P72" s="468"/>
      <c r="Q72" s="468"/>
      <c r="R72" s="398"/>
      <c r="S72" s="239"/>
      <c r="T72" s="239"/>
      <c r="U72" s="239"/>
      <c r="V72" s="239"/>
      <c r="W72" s="54"/>
    </row>
    <row r="73" spans="1:23" x14ac:dyDescent="0.3">
      <c r="A73" s="496" t="s">
        <v>196</v>
      </c>
      <c r="B73" s="497"/>
      <c r="C73" s="497"/>
      <c r="D73" s="497"/>
      <c r="E73" s="497"/>
      <c r="F73" s="497"/>
      <c r="G73" s="497"/>
      <c r="H73" s="498"/>
      <c r="I73" s="90"/>
      <c r="J73" s="90"/>
      <c r="K73" s="397"/>
      <c r="L73" s="468"/>
      <c r="M73" s="468"/>
      <c r="N73" s="468"/>
      <c r="O73" s="468"/>
      <c r="P73" s="468"/>
      <c r="Q73" s="468"/>
      <c r="R73" s="398"/>
      <c r="S73" s="239"/>
      <c r="T73" s="239"/>
      <c r="U73" s="239"/>
      <c r="V73" s="239"/>
      <c r="W73" s="54"/>
    </row>
    <row r="74" spans="1:23" x14ac:dyDescent="0.3">
      <c r="A74" s="493" t="s">
        <v>198</v>
      </c>
      <c r="B74" s="494"/>
      <c r="C74" s="494"/>
      <c r="D74" s="494"/>
      <c r="E74" s="494"/>
      <c r="F74" s="494"/>
      <c r="G74" s="494"/>
      <c r="H74" s="495"/>
      <c r="I74" s="90"/>
      <c r="J74" s="90"/>
      <c r="K74" s="397"/>
      <c r="L74" s="468"/>
      <c r="M74" s="468"/>
      <c r="N74" s="468"/>
      <c r="O74" s="468"/>
      <c r="P74" s="468"/>
      <c r="Q74" s="468"/>
      <c r="R74" s="398"/>
      <c r="S74" s="239"/>
      <c r="T74" s="239"/>
      <c r="U74" s="239"/>
      <c r="V74" s="239"/>
      <c r="W74" s="54"/>
    </row>
    <row r="75" spans="1:23" x14ac:dyDescent="0.3">
      <c r="A75" s="493" t="s">
        <v>197</v>
      </c>
      <c r="B75" s="494"/>
      <c r="C75" s="494"/>
      <c r="D75" s="494"/>
      <c r="E75" s="494"/>
      <c r="F75" s="494"/>
      <c r="G75" s="494"/>
      <c r="H75" s="495"/>
      <c r="I75" s="90"/>
      <c r="J75" s="90"/>
      <c r="K75" s="397"/>
      <c r="L75" s="468"/>
      <c r="M75" s="468"/>
      <c r="N75" s="468"/>
      <c r="O75" s="468"/>
      <c r="P75" s="468"/>
      <c r="Q75" s="468"/>
      <c r="R75" s="398"/>
      <c r="S75" s="239"/>
      <c r="T75" s="239"/>
      <c r="U75" s="239"/>
      <c r="V75" s="239"/>
      <c r="W75" s="54"/>
    </row>
    <row r="76" spans="1:23" x14ac:dyDescent="0.3">
      <c r="A76" s="493" t="s">
        <v>190</v>
      </c>
      <c r="B76" s="494"/>
      <c r="C76" s="494"/>
      <c r="D76" s="494"/>
      <c r="E76" s="494"/>
      <c r="F76" s="494"/>
      <c r="G76" s="494"/>
      <c r="H76" s="495"/>
      <c r="I76" s="90"/>
      <c r="J76" s="90"/>
      <c r="K76" s="397"/>
      <c r="L76" s="468"/>
      <c r="M76" s="468"/>
      <c r="N76" s="468"/>
      <c r="O76" s="468"/>
      <c r="P76" s="468"/>
      <c r="Q76" s="468"/>
      <c r="R76" s="398"/>
      <c r="S76" s="239"/>
      <c r="T76" s="239"/>
      <c r="U76" s="239"/>
      <c r="V76" s="239"/>
      <c r="W76" s="54"/>
    </row>
    <row r="77" spans="1:23" x14ac:dyDescent="0.3">
      <c r="A77" s="468"/>
      <c r="B77" s="468"/>
      <c r="C77" s="468"/>
      <c r="D77" s="468"/>
      <c r="E77" s="468"/>
      <c r="F77" s="468"/>
      <c r="G77" s="468"/>
      <c r="H77" s="398"/>
      <c r="I77" s="90"/>
      <c r="J77" s="90"/>
      <c r="K77" s="397"/>
      <c r="L77" s="468"/>
      <c r="M77" s="468"/>
      <c r="N77" s="468"/>
      <c r="O77" s="468"/>
      <c r="P77" s="468"/>
      <c r="Q77" s="468"/>
      <c r="R77" s="398"/>
      <c r="S77" s="239"/>
      <c r="T77" s="239"/>
      <c r="U77" s="239"/>
      <c r="V77" s="239"/>
      <c r="W77" s="54"/>
    </row>
    <row r="78" spans="1:23" x14ac:dyDescent="0.3">
      <c r="A78" s="506"/>
      <c r="B78" s="507"/>
      <c r="C78" s="507"/>
      <c r="D78" s="507"/>
      <c r="E78" s="507"/>
      <c r="F78" s="507"/>
      <c r="G78" s="507"/>
      <c r="H78" s="508"/>
      <c r="I78" s="90"/>
      <c r="J78" s="90"/>
      <c r="K78" s="397"/>
      <c r="L78" s="468"/>
      <c r="M78" s="468"/>
      <c r="N78" s="468"/>
      <c r="O78" s="468"/>
      <c r="P78" s="468"/>
      <c r="Q78" s="468"/>
      <c r="R78" s="398"/>
      <c r="S78" s="239"/>
      <c r="T78" s="239"/>
      <c r="U78" s="239"/>
      <c r="V78" s="239"/>
      <c r="W78" s="54"/>
    </row>
    <row r="79" spans="1:23" x14ac:dyDescent="0.3">
      <c r="A79" s="493" t="s">
        <v>199</v>
      </c>
      <c r="B79" s="494"/>
      <c r="C79" s="494"/>
      <c r="D79" s="494"/>
      <c r="E79" s="494"/>
      <c r="F79" s="494"/>
      <c r="G79" s="494"/>
      <c r="H79" s="495"/>
      <c r="I79" s="90"/>
      <c r="J79" s="90"/>
      <c r="K79" s="397"/>
      <c r="L79" s="468"/>
      <c r="M79" s="468"/>
      <c r="N79" s="468"/>
      <c r="O79" s="468"/>
      <c r="P79" s="468"/>
      <c r="Q79" s="468"/>
      <c r="R79" s="398"/>
      <c r="S79" s="239"/>
      <c r="T79" s="239"/>
      <c r="U79" s="239"/>
      <c r="V79" s="239"/>
      <c r="W79" s="54"/>
    </row>
    <row r="80" spans="1:23" x14ac:dyDescent="0.3">
      <c r="A80" s="506"/>
      <c r="B80" s="507"/>
      <c r="C80" s="507"/>
      <c r="D80" s="507"/>
      <c r="E80" s="507"/>
      <c r="F80" s="507"/>
      <c r="G80" s="507"/>
      <c r="H80" s="508"/>
      <c r="I80" s="90"/>
      <c r="J80" s="90"/>
      <c r="K80" s="397"/>
      <c r="L80" s="468"/>
      <c r="M80" s="468"/>
      <c r="N80" s="468"/>
      <c r="O80" s="468"/>
      <c r="P80" s="468"/>
      <c r="Q80" s="468"/>
      <c r="R80" s="398"/>
      <c r="S80" s="239"/>
      <c r="T80" s="239"/>
      <c r="U80" s="239"/>
      <c r="V80" s="239"/>
      <c r="W80" s="54"/>
    </row>
    <row r="81" spans="1:23" x14ac:dyDescent="0.3">
      <c r="A81" s="506"/>
      <c r="B81" s="507"/>
      <c r="C81" s="507"/>
      <c r="D81" s="507"/>
      <c r="E81" s="507"/>
      <c r="F81" s="507"/>
      <c r="G81" s="507"/>
      <c r="H81" s="508"/>
      <c r="I81" s="90"/>
      <c r="J81" s="90"/>
      <c r="K81" s="397"/>
      <c r="L81" s="468"/>
      <c r="M81" s="468"/>
      <c r="N81" s="468"/>
      <c r="O81" s="468"/>
      <c r="P81" s="468"/>
      <c r="Q81" s="468"/>
      <c r="R81" s="398"/>
      <c r="S81" s="239"/>
      <c r="T81" s="239"/>
      <c r="U81" s="239"/>
      <c r="V81" s="239"/>
      <c r="W81" s="54"/>
    </row>
    <row r="82" spans="1:23" x14ac:dyDescent="0.3">
      <c r="A82" s="317" t="s">
        <v>671</v>
      </c>
      <c r="B82" s="318"/>
      <c r="C82" s="318"/>
      <c r="D82" s="318"/>
      <c r="E82" s="318"/>
      <c r="F82" s="318"/>
      <c r="G82" s="318"/>
      <c r="H82" s="319"/>
      <c r="I82" s="320" t="s">
        <v>71</v>
      </c>
      <c r="J82" s="320" t="s">
        <v>129</v>
      </c>
      <c r="K82" s="321" t="s">
        <v>96</v>
      </c>
      <c r="L82" s="312"/>
      <c r="M82" s="312"/>
      <c r="N82" s="312"/>
      <c r="O82" s="312"/>
      <c r="P82" s="312"/>
      <c r="Q82" s="312"/>
      <c r="R82" s="323"/>
      <c r="S82" s="54"/>
      <c r="T82" s="54"/>
      <c r="U82" s="54"/>
      <c r="V82" s="54"/>
      <c r="W82" s="54"/>
    </row>
    <row r="83" spans="1:23" x14ac:dyDescent="0.3">
      <c r="A83" s="422" t="s">
        <v>200</v>
      </c>
      <c r="B83" s="422"/>
      <c r="C83" s="422"/>
      <c r="D83" s="422"/>
      <c r="E83" s="422"/>
      <c r="F83" s="422"/>
      <c r="G83" s="422"/>
      <c r="H83" s="499"/>
      <c r="I83" s="90"/>
      <c r="J83" s="90"/>
      <c r="K83" s="397"/>
      <c r="L83" s="468"/>
      <c r="M83" s="468"/>
      <c r="N83" s="468"/>
      <c r="O83" s="468"/>
      <c r="P83" s="468"/>
      <c r="Q83" s="468"/>
      <c r="R83" s="398"/>
      <c r="S83" s="54"/>
      <c r="T83" s="54"/>
      <c r="U83" s="54"/>
      <c r="V83" s="54"/>
      <c r="W83" s="54"/>
    </row>
    <row r="84" spans="1:23" x14ac:dyDescent="0.3">
      <c r="A84" s="503" t="s">
        <v>50</v>
      </c>
      <c r="B84" s="504"/>
      <c r="C84" s="504"/>
      <c r="D84" s="504"/>
      <c r="E84" s="504"/>
      <c r="F84" s="504"/>
      <c r="G84" s="504"/>
      <c r="H84" s="505"/>
      <c r="I84" s="90"/>
      <c r="J84" s="90"/>
      <c r="K84" s="397"/>
      <c r="L84" s="468"/>
      <c r="M84" s="468"/>
      <c r="N84" s="468"/>
      <c r="O84" s="468"/>
      <c r="P84" s="468"/>
      <c r="Q84" s="468"/>
      <c r="R84" s="398"/>
      <c r="S84" s="54"/>
      <c r="T84" s="54"/>
      <c r="U84" s="54"/>
      <c r="V84" s="54"/>
      <c r="W84" s="54"/>
    </row>
    <row r="85" spans="1:23" x14ac:dyDescent="0.3">
      <c r="A85" s="503" t="s">
        <v>51</v>
      </c>
      <c r="B85" s="504"/>
      <c r="C85" s="504"/>
      <c r="D85" s="504"/>
      <c r="E85" s="504"/>
      <c r="F85" s="504"/>
      <c r="G85" s="504"/>
      <c r="H85" s="505"/>
      <c r="I85" s="90"/>
      <c r="J85" s="90"/>
      <c r="K85" s="397"/>
      <c r="L85" s="468"/>
      <c r="M85" s="468"/>
      <c r="N85" s="468"/>
      <c r="O85" s="468"/>
      <c r="P85" s="468"/>
      <c r="Q85" s="468"/>
      <c r="R85" s="398"/>
      <c r="S85" s="54"/>
      <c r="T85" s="54"/>
      <c r="U85" s="54"/>
      <c r="V85" s="54"/>
      <c r="W85" s="54"/>
    </row>
    <row r="86" spans="1:23" x14ac:dyDescent="0.3">
      <c r="A86" s="503" t="s">
        <v>100</v>
      </c>
      <c r="B86" s="504"/>
      <c r="C86" s="504"/>
      <c r="D86" s="504"/>
      <c r="E86" s="504"/>
      <c r="F86" s="504"/>
      <c r="G86" s="504"/>
      <c r="H86" s="505"/>
      <c r="I86" s="90"/>
      <c r="J86" s="90"/>
      <c r="K86" s="397"/>
      <c r="L86" s="468"/>
      <c r="M86" s="468"/>
      <c r="N86" s="468"/>
      <c r="O86" s="468"/>
      <c r="P86" s="468"/>
      <c r="Q86" s="468"/>
      <c r="R86" s="398"/>
      <c r="S86" s="54"/>
      <c r="T86" s="54"/>
      <c r="U86" s="54"/>
      <c r="V86" s="54"/>
      <c r="W86" s="54"/>
    </row>
    <row r="87" spans="1:23" ht="15" x14ac:dyDescent="0.3">
      <c r="A87" s="503" t="s">
        <v>795</v>
      </c>
      <c r="B87" s="504"/>
      <c r="C87" s="504"/>
      <c r="D87" s="504"/>
      <c r="E87" s="504"/>
      <c r="F87" s="504"/>
      <c r="G87" s="504"/>
      <c r="H87" s="505"/>
      <c r="I87" s="90"/>
      <c r="J87" s="90"/>
      <c r="K87" s="397"/>
      <c r="L87" s="468"/>
      <c r="M87" s="468"/>
      <c r="N87" s="468"/>
      <c r="O87" s="468"/>
      <c r="P87" s="468"/>
      <c r="Q87" s="468"/>
      <c r="R87" s="398"/>
      <c r="S87" s="54"/>
      <c r="T87" s="54"/>
      <c r="U87" s="54"/>
      <c r="V87" s="54"/>
      <c r="W87" s="54"/>
    </row>
    <row r="88" spans="1:23" x14ac:dyDescent="0.3">
      <c r="A88" s="500"/>
      <c r="B88" s="501"/>
      <c r="C88" s="501"/>
      <c r="D88" s="501"/>
      <c r="E88" s="501"/>
      <c r="F88" s="501"/>
      <c r="G88" s="501"/>
      <c r="H88" s="502"/>
      <c r="I88" s="90"/>
      <c r="J88" s="90"/>
      <c r="K88" s="397"/>
      <c r="L88" s="468"/>
      <c r="M88" s="468"/>
      <c r="N88" s="468"/>
      <c r="O88" s="468"/>
      <c r="P88" s="468"/>
      <c r="Q88" s="468"/>
      <c r="R88" s="398"/>
      <c r="S88" s="54"/>
      <c r="T88" s="54"/>
      <c r="U88" s="54"/>
      <c r="V88" s="54"/>
      <c r="W88" s="54"/>
    </row>
    <row r="89" spans="1:23" x14ac:dyDescent="0.3">
      <c r="A89" s="500"/>
      <c r="B89" s="501"/>
      <c r="C89" s="501"/>
      <c r="D89" s="501"/>
      <c r="E89" s="501"/>
      <c r="F89" s="501"/>
      <c r="G89" s="501"/>
      <c r="H89" s="502"/>
      <c r="I89" s="90"/>
      <c r="J89" s="90"/>
      <c r="K89" s="397"/>
      <c r="L89" s="468"/>
      <c r="M89" s="468"/>
      <c r="N89" s="468"/>
      <c r="O89" s="468"/>
      <c r="P89" s="468"/>
      <c r="Q89" s="468"/>
      <c r="R89" s="398"/>
      <c r="S89" s="54"/>
      <c r="T89" s="54"/>
      <c r="U89" s="54"/>
      <c r="V89" s="54"/>
      <c r="W89" s="54"/>
    </row>
    <row r="90" spans="1:23" x14ac:dyDescent="0.3">
      <c r="A90" s="500"/>
      <c r="B90" s="501"/>
      <c r="C90" s="501"/>
      <c r="D90" s="501"/>
      <c r="E90" s="501"/>
      <c r="F90" s="501"/>
      <c r="G90" s="501"/>
      <c r="H90" s="502"/>
      <c r="I90" s="90"/>
      <c r="J90" s="90"/>
      <c r="K90" s="397"/>
      <c r="L90" s="468"/>
      <c r="M90" s="468"/>
      <c r="N90" s="468"/>
      <c r="O90" s="468"/>
      <c r="P90" s="468"/>
      <c r="Q90" s="468"/>
      <c r="R90" s="398"/>
      <c r="S90" s="54"/>
      <c r="T90" s="54"/>
      <c r="U90" s="54"/>
      <c r="V90" s="54"/>
      <c r="W90" s="54"/>
    </row>
  </sheetData>
  <sheetProtection sheet="1" objects="1" scenarios="1"/>
  <mergeCells count="138">
    <mergeCell ref="I26:J26"/>
    <mergeCell ref="K28:R28"/>
    <mergeCell ref="K29:R29"/>
    <mergeCell ref="K30:R30"/>
    <mergeCell ref="K31:R31"/>
    <mergeCell ref="K37:R37"/>
    <mergeCell ref="A34:H34"/>
    <mergeCell ref="A35:H35"/>
    <mergeCell ref="A36:H36"/>
    <mergeCell ref="A37:H37"/>
    <mergeCell ref="K32:R32"/>
    <mergeCell ref="K33:R33"/>
    <mergeCell ref="K34:R34"/>
    <mergeCell ref="K35:R35"/>
    <mergeCell ref="K36:R36"/>
    <mergeCell ref="A33:H33"/>
    <mergeCell ref="A29:H29"/>
    <mergeCell ref="A30:H30"/>
    <mergeCell ref="A31:H31"/>
    <mergeCell ref="A32:H32"/>
    <mergeCell ref="K44:R44"/>
    <mergeCell ref="K45:R45"/>
    <mergeCell ref="K46:R46"/>
    <mergeCell ref="K47:R47"/>
    <mergeCell ref="K48:R48"/>
    <mergeCell ref="K39:R39"/>
    <mergeCell ref="K40:R40"/>
    <mergeCell ref="K41:R41"/>
    <mergeCell ref="K42:R42"/>
    <mergeCell ref="K43:R43"/>
    <mergeCell ref="K54:R54"/>
    <mergeCell ref="K55:R55"/>
    <mergeCell ref="K56:R56"/>
    <mergeCell ref="K57:R57"/>
    <mergeCell ref="K58:R58"/>
    <mergeCell ref="K49:R49"/>
    <mergeCell ref="K50:R50"/>
    <mergeCell ref="K51:R51"/>
    <mergeCell ref="K52:R52"/>
    <mergeCell ref="K53:R53"/>
    <mergeCell ref="K64:R64"/>
    <mergeCell ref="K65:R65"/>
    <mergeCell ref="K66:R66"/>
    <mergeCell ref="K67:R67"/>
    <mergeCell ref="K68:R68"/>
    <mergeCell ref="K59:R59"/>
    <mergeCell ref="K60:R60"/>
    <mergeCell ref="K61:R61"/>
    <mergeCell ref="K62:R62"/>
    <mergeCell ref="K63:R63"/>
    <mergeCell ref="A78:H78"/>
    <mergeCell ref="A80:H80"/>
    <mergeCell ref="A81:H81"/>
    <mergeCell ref="K74:R74"/>
    <mergeCell ref="K75:R75"/>
    <mergeCell ref="K76:R76"/>
    <mergeCell ref="K77:R77"/>
    <mergeCell ref="K78:R78"/>
    <mergeCell ref="K69:R69"/>
    <mergeCell ref="K70:R70"/>
    <mergeCell ref="K71:R71"/>
    <mergeCell ref="K72:R72"/>
    <mergeCell ref="K73:R73"/>
    <mergeCell ref="A69:H69"/>
    <mergeCell ref="A70:H70"/>
    <mergeCell ref="A71:H71"/>
    <mergeCell ref="A72:H72"/>
    <mergeCell ref="A77:H77"/>
    <mergeCell ref="A73:H73"/>
    <mergeCell ref="A74:H74"/>
    <mergeCell ref="A75:H75"/>
    <mergeCell ref="A76:H76"/>
    <mergeCell ref="A54:H54"/>
    <mergeCell ref="A55:H55"/>
    <mergeCell ref="A63:H63"/>
    <mergeCell ref="A64:H64"/>
    <mergeCell ref="A68:H68"/>
    <mergeCell ref="A60:H60"/>
    <mergeCell ref="A61:H61"/>
    <mergeCell ref="A62:H62"/>
    <mergeCell ref="A65:H65"/>
    <mergeCell ref="A66:H66"/>
    <mergeCell ref="A67:H67"/>
    <mergeCell ref="A59:H59"/>
    <mergeCell ref="A88:H88"/>
    <mergeCell ref="A89:H89"/>
    <mergeCell ref="A90:H90"/>
    <mergeCell ref="K79:R79"/>
    <mergeCell ref="K80:R80"/>
    <mergeCell ref="K81:R81"/>
    <mergeCell ref="K83:R83"/>
    <mergeCell ref="K84:R84"/>
    <mergeCell ref="K85:R85"/>
    <mergeCell ref="K86:R86"/>
    <mergeCell ref="K87:R87"/>
    <mergeCell ref="K88:R88"/>
    <mergeCell ref="K89:R89"/>
    <mergeCell ref="K90:R90"/>
    <mergeCell ref="A79:H79"/>
    <mergeCell ref="A83:H83"/>
    <mergeCell ref="A84:H84"/>
    <mergeCell ref="A85:H85"/>
    <mergeCell ref="A86:H86"/>
    <mergeCell ref="A87:H87"/>
    <mergeCell ref="C1:F1"/>
    <mergeCell ref="C2:F2"/>
    <mergeCell ref="C3:F3"/>
    <mergeCell ref="C4:F4"/>
    <mergeCell ref="C5:F5"/>
    <mergeCell ref="A53:H53"/>
    <mergeCell ref="A56:H56"/>
    <mergeCell ref="A57:H57"/>
    <mergeCell ref="A58:H58"/>
    <mergeCell ref="A48:H48"/>
    <mergeCell ref="A49:H49"/>
    <mergeCell ref="A50:H50"/>
    <mergeCell ref="A51:H51"/>
    <mergeCell ref="A52:H52"/>
    <mergeCell ref="A43:H43"/>
    <mergeCell ref="A44:H44"/>
    <mergeCell ref="A45:H45"/>
    <mergeCell ref="A46:H46"/>
    <mergeCell ref="A47:H47"/>
    <mergeCell ref="A39:H39"/>
    <mergeCell ref="A40:H40"/>
    <mergeCell ref="A41:H41"/>
    <mergeCell ref="A42:H42"/>
    <mergeCell ref="A28:H28"/>
    <mergeCell ref="O1:R1"/>
    <mergeCell ref="O2:R2"/>
    <mergeCell ref="O3:R3"/>
    <mergeCell ref="O4:R4"/>
    <mergeCell ref="O5:R5"/>
    <mergeCell ref="I1:L1"/>
    <mergeCell ref="I2:L2"/>
    <mergeCell ref="I3:L3"/>
    <mergeCell ref="I4:L4"/>
    <mergeCell ref="I5:L5"/>
  </mergeCells>
  <pageMargins left="0.7" right="0.7" top="0.75" bottom="0.75" header="0.3" footer="0.3"/>
  <pageSetup paperSize="9" orientation="portrait" r:id="rId1"/>
  <ignoredErrors>
    <ignoredError sqref="O4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D90E7C-727E-4709-A32E-B702A31168C7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R121"/>
  <sheetViews>
    <sheetView workbookViewId="0">
      <selection activeCell="M21" sqref="M21"/>
    </sheetView>
  </sheetViews>
  <sheetFormatPr defaultColWidth="9.109375" defaultRowHeight="14.4" x14ac:dyDescent="0.3"/>
  <cols>
    <col min="1" max="1" width="16.33203125" style="45" customWidth="1"/>
    <col min="2" max="9" width="9.109375" style="45"/>
    <col min="10" max="10" width="12.44140625" style="45" customWidth="1"/>
    <col min="11" max="11" width="12" style="45" customWidth="1"/>
    <col min="12" max="12" width="9.109375" style="45"/>
    <col min="13" max="13" width="13" style="45" customWidth="1"/>
    <col min="14" max="14" width="14.109375" style="45" customWidth="1"/>
    <col min="15" max="15" width="19.33203125" style="45" customWidth="1"/>
    <col min="16" max="16" width="9.109375" style="45"/>
    <col min="17" max="17" width="13.5546875" style="45" customWidth="1"/>
    <col min="18" max="19" width="9.109375" style="45"/>
    <col min="20" max="23" width="13" style="45" customWidth="1"/>
    <col min="24" max="24" width="13.6640625" style="45" customWidth="1"/>
    <col min="25" max="16384" width="9.109375" style="45"/>
  </cols>
  <sheetData>
    <row r="1" spans="1:18" ht="18" x14ac:dyDescent="0.35">
      <c r="A1" s="219" t="s">
        <v>577</v>
      </c>
      <c r="B1" s="219"/>
      <c r="C1" s="219"/>
      <c r="D1" s="219"/>
      <c r="E1" s="219"/>
      <c r="F1" s="219"/>
      <c r="G1" s="219"/>
      <c r="H1" s="219"/>
      <c r="I1" s="219"/>
      <c r="J1" s="219"/>
      <c r="K1" s="219" t="s">
        <v>578</v>
      </c>
      <c r="L1" s="219"/>
      <c r="M1" s="219"/>
      <c r="N1" s="219"/>
    </row>
    <row r="3" spans="1:18" x14ac:dyDescent="0.3">
      <c r="A3" s="227" t="s">
        <v>579</v>
      </c>
      <c r="B3" s="227"/>
      <c r="C3" s="227"/>
      <c r="D3" s="227"/>
      <c r="E3" s="227"/>
      <c r="F3" s="227"/>
      <c r="G3" s="227"/>
      <c r="H3" s="227"/>
      <c r="I3" s="227"/>
      <c r="J3" s="227"/>
      <c r="K3" s="227"/>
      <c r="L3" s="227"/>
      <c r="M3" s="227"/>
      <c r="N3" s="227"/>
    </row>
    <row r="4" spans="1:18" x14ac:dyDescent="0.3">
      <c r="Q4" s="93" t="s">
        <v>323</v>
      </c>
    </row>
    <row r="5" spans="1:18" x14ac:dyDescent="0.3">
      <c r="A5" s="224" t="s">
        <v>80</v>
      </c>
      <c r="C5" s="220" t="s">
        <v>131</v>
      </c>
      <c r="D5" s="221"/>
      <c r="F5" s="220" t="s">
        <v>256</v>
      </c>
      <c r="G5" s="221"/>
      <c r="I5" s="220" t="s">
        <v>457</v>
      </c>
      <c r="J5" s="221"/>
      <c r="L5" s="220" t="s">
        <v>467</v>
      </c>
      <c r="M5" s="221"/>
      <c r="O5" s="224" t="s">
        <v>241</v>
      </c>
      <c r="Q5" s="94"/>
    </row>
    <row r="6" spans="1:18" x14ac:dyDescent="0.3">
      <c r="A6" s="225" t="s">
        <v>120</v>
      </c>
      <c r="C6" s="155" t="s">
        <v>77</v>
      </c>
      <c r="D6" s="156"/>
      <c r="F6" s="155" t="s">
        <v>133</v>
      </c>
      <c r="G6" s="156"/>
      <c r="I6" s="155" t="s">
        <v>458</v>
      </c>
      <c r="J6" s="156"/>
      <c r="L6" s="155" t="s">
        <v>230</v>
      </c>
      <c r="M6" s="156"/>
      <c r="O6" s="225" t="s">
        <v>242</v>
      </c>
      <c r="Q6" s="93">
        <v>14</v>
      </c>
    </row>
    <row r="7" spans="1:18" x14ac:dyDescent="0.3">
      <c r="A7" s="225"/>
      <c r="C7" s="222"/>
      <c r="D7" s="223"/>
      <c r="F7" s="155" t="s">
        <v>260</v>
      </c>
      <c r="G7" s="156"/>
      <c r="I7" s="155"/>
      <c r="J7" s="156"/>
      <c r="L7" s="222"/>
      <c r="M7" s="223"/>
      <c r="O7" s="226"/>
    </row>
    <row r="8" spans="1:18" x14ac:dyDescent="0.3">
      <c r="A8" s="226"/>
      <c r="F8" s="155" t="s">
        <v>489</v>
      </c>
      <c r="G8" s="156"/>
      <c r="I8" s="222"/>
      <c r="J8" s="223"/>
    </row>
    <row r="9" spans="1:18" x14ac:dyDescent="0.3">
      <c r="C9" s="220" t="s">
        <v>205</v>
      </c>
      <c r="D9" s="221"/>
      <c r="F9" s="155" t="s">
        <v>477</v>
      </c>
      <c r="G9" s="156"/>
    </row>
    <row r="10" spans="1:18" x14ac:dyDescent="0.3">
      <c r="A10" s="224" t="s">
        <v>71</v>
      </c>
      <c r="C10" s="155" t="s">
        <v>123</v>
      </c>
      <c r="D10" s="156"/>
      <c r="F10" s="155"/>
      <c r="G10" s="156"/>
      <c r="I10" s="220" t="s">
        <v>257</v>
      </c>
      <c r="J10" s="221"/>
      <c r="M10" s="224" t="s">
        <v>760</v>
      </c>
      <c r="O10" s="224" t="s">
        <v>264</v>
      </c>
    </row>
    <row r="11" spans="1:18" x14ac:dyDescent="0.3">
      <c r="A11" s="225" t="s">
        <v>129</v>
      </c>
      <c r="C11" s="155" t="s">
        <v>136</v>
      </c>
      <c r="D11" s="156"/>
      <c r="F11" s="222"/>
      <c r="G11" s="223"/>
      <c r="I11" s="155" t="s">
        <v>258</v>
      </c>
      <c r="J11" s="156"/>
      <c r="M11" s="225" t="s">
        <v>759</v>
      </c>
      <c r="O11" s="225" t="s">
        <v>269</v>
      </c>
    </row>
    <row r="12" spans="1:18" x14ac:dyDescent="0.3">
      <c r="A12" s="225" t="s">
        <v>788</v>
      </c>
      <c r="C12" s="222"/>
      <c r="D12" s="223"/>
      <c r="E12" s="65"/>
      <c r="G12" s="65"/>
      <c r="H12" s="65"/>
      <c r="I12" s="222"/>
      <c r="J12" s="223"/>
      <c r="M12" s="225" t="s">
        <v>378</v>
      </c>
      <c r="O12" s="225" t="s">
        <v>265</v>
      </c>
    </row>
    <row r="13" spans="1:18" x14ac:dyDescent="0.3">
      <c r="A13" s="225" t="s">
        <v>318</v>
      </c>
      <c r="C13" s="65"/>
      <c r="D13" s="65"/>
      <c r="E13" s="65"/>
      <c r="G13" s="65"/>
      <c r="H13" s="65"/>
      <c r="M13" s="225" t="s">
        <v>323</v>
      </c>
      <c r="O13" s="225" t="s">
        <v>758</v>
      </c>
    </row>
    <row r="14" spans="1:18" x14ac:dyDescent="0.3">
      <c r="A14" s="226"/>
      <c r="C14" s="220" t="s">
        <v>205</v>
      </c>
      <c r="D14" s="221"/>
      <c r="E14" s="65"/>
      <c r="G14" s="65"/>
      <c r="H14" s="65"/>
      <c r="I14" s="220" t="s">
        <v>359</v>
      </c>
      <c r="J14" s="221"/>
      <c r="M14" s="225" t="s">
        <v>377</v>
      </c>
      <c r="O14" s="225"/>
      <c r="P14" s="65"/>
      <c r="Q14" s="65"/>
      <c r="R14" s="65"/>
    </row>
    <row r="15" spans="1:18" x14ac:dyDescent="0.3">
      <c r="C15" s="155" t="s">
        <v>123</v>
      </c>
      <c r="D15" s="156"/>
      <c r="E15" s="65"/>
      <c r="G15" s="65"/>
      <c r="H15" s="65"/>
      <c r="I15" s="155" t="s">
        <v>360</v>
      </c>
      <c r="J15" s="156"/>
      <c r="M15" s="226"/>
      <c r="O15" s="226"/>
      <c r="P15" s="65"/>
      <c r="Q15" s="65"/>
      <c r="R15" s="65"/>
    </row>
    <row r="16" spans="1:18" x14ac:dyDescent="0.3">
      <c r="C16" s="222"/>
      <c r="D16" s="223"/>
      <c r="E16" s="65"/>
      <c r="G16" s="65"/>
      <c r="H16" s="65"/>
      <c r="I16" s="222"/>
      <c r="J16" s="223"/>
      <c r="M16" s="65"/>
      <c r="O16" s="65"/>
      <c r="P16" s="65"/>
      <c r="Q16" s="65"/>
      <c r="R16" s="65"/>
    </row>
    <row r="17" spans="1:18" x14ac:dyDescent="0.3">
      <c r="C17" s="65"/>
      <c r="D17" s="65"/>
      <c r="E17" s="65"/>
      <c r="G17" s="65"/>
      <c r="H17" s="65"/>
      <c r="I17" s="65"/>
      <c r="K17" s="65"/>
      <c r="O17" s="65"/>
      <c r="P17" s="65"/>
      <c r="Q17" s="65"/>
      <c r="R17" s="65"/>
    </row>
    <row r="18" spans="1:18" x14ac:dyDescent="0.3">
      <c r="A18" s="224" t="s">
        <v>71</v>
      </c>
      <c r="C18" s="224" t="s">
        <v>69</v>
      </c>
      <c r="E18" s="224" t="s">
        <v>68</v>
      </c>
      <c r="F18" s="65"/>
      <c r="G18" s="224" t="s">
        <v>56</v>
      </c>
      <c r="H18" s="65"/>
      <c r="I18" s="220" t="s">
        <v>71</v>
      </c>
      <c r="J18" s="221"/>
      <c r="K18" s="65"/>
      <c r="M18" s="65"/>
      <c r="O18" s="65"/>
      <c r="P18" s="65"/>
      <c r="Q18" s="65"/>
      <c r="R18" s="65"/>
    </row>
    <row r="19" spans="1:18" x14ac:dyDescent="0.3">
      <c r="A19" s="225" t="s">
        <v>129</v>
      </c>
      <c r="C19" s="225" t="s">
        <v>424</v>
      </c>
      <c r="E19" s="225" t="s">
        <v>429</v>
      </c>
      <c r="F19" s="65"/>
      <c r="G19" s="225" t="s">
        <v>433</v>
      </c>
      <c r="H19" s="65"/>
      <c r="I19" s="155" t="s">
        <v>129</v>
      </c>
      <c r="J19" s="156"/>
      <c r="K19" s="65"/>
      <c r="M19" s="65"/>
      <c r="P19" s="65"/>
      <c r="Q19" s="65"/>
      <c r="R19" s="65"/>
    </row>
    <row r="20" spans="1:18" x14ac:dyDescent="0.3">
      <c r="A20" s="225" t="s">
        <v>201</v>
      </c>
      <c r="C20" s="225" t="s">
        <v>423</v>
      </c>
      <c r="E20" s="225" t="s">
        <v>428</v>
      </c>
      <c r="F20" s="65"/>
      <c r="G20" s="225" t="s">
        <v>432</v>
      </c>
      <c r="H20" s="65"/>
      <c r="I20" s="155" t="s">
        <v>318</v>
      </c>
      <c r="J20" s="156"/>
      <c r="M20" s="65"/>
    </row>
    <row r="21" spans="1:18" x14ac:dyDescent="0.3">
      <c r="A21" s="225" t="s">
        <v>202</v>
      </c>
      <c r="C21" s="225" t="s">
        <v>425</v>
      </c>
      <c r="E21" s="225" t="s">
        <v>427</v>
      </c>
      <c r="F21" s="65"/>
      <c r="G21" s="225" t="s">
        <v>431</v>
      </c>
      <c r="H21" s="65"/>
      <c r="I21" s="222"/>
      <c r="J21" s="223"/>
      <c r="M21" s="65"/>
    </row>
    <row r="22" spans="1:18" x14ac:dyDescent="0.3">
      <c r="A22" s="225" t="s">
        <v>203</v>
      </c>
      <c r="C22" s="225" t="s">
        <v>426</v>
      </c>
      <c r="E22" s="225"/>
      <c r="F22" s="65"/>
      <c r="G22" s="225"/>
      <c r="I22" s="372"/>
      <c r="J22" s="372"/>
      <c r="P22" s="65"/>
      <c r="Q22" s="65"/>
      <c r="R22" s="65"/>
    </row>
    <row r="23" spans="1:18" x14ac:dyDescent="0.3">
      <c r="A23" s="225" t="s">
        <v>318</v>
      </c>
      <c r="C23" s="225"/>
      <c r="E23" s="226"/>
      <c r="F23" s="65"/>
      <c r="G23" s="226"/>
      <c r="P23" s="65"/>
      <c r="Q23" s="65"/>
      <c r="R23" s="65"/>
    </row>
    <row r="24" spans="1:18" x14ac:dyDescent="0.3">
      <c r="A24" s="226"/>
      <c r="C24" s="226"/>
      <c r="P24" s="65"/>
      <c r="Q24" s="65"/>
      <c r="R24" s="65"/>
    </row>
    <row r="25" spans="1:18" x14ac:dyDescent="0.3">
      <c r="A25" s="65"/>
      <c r="C25" s="63"/>
      <c r="K25" s="65"/>
      <c r="P25" s="65"/>
      <c r="Q25" s="65"/>
      <c r="R25" s="65"/>
    </row>
    <row r="26" spans="1:18" x14ac:dyDescent="0.3">
      <c r="A26" s="65"/>
      <c r="K26" s="65"/>
      <c r="P26" s="65"/>
      <c r="Q26" s="65"/>
      <c r="R26" s="65"/>
    </row>
    <row r="27" spans="1:18" x14ac:dyDescent="0.3">
      <c r="A27" s="227" t="s">
        <v>580</v>
      </c>
      <c r="B27" s="227"/>
      <c r="C27" s="227"/>
      <c r="D27" s="227"/>
      <c r="E27" s="227"/>
      <c r="F27" s="227"/>
      <c r="G27" s="227"/>
      <c r="H27" s="227"/>
      <c r="I27" s="227"/>
      <c r="J27" s="227"/>
      <c r="K27" s="228"/>
      <c r="L27" s="227"/>
      <c r="M27" s="227"/>
      <c r="N27" s="227"/>
      <c r="O27" s="227"/>
      <c r="P27" s="65"/>
      <c r="Q27" s="65"/>
      <c r="R27" s="65"/>
    </row>
    <row r="28" spans="1:18" x14ac:dyDescent="0.3">
      <c r="K28" s="65"/>
      <c r="P28" s="65"/>
      <c r="Q28" s="65"/>
      <c r="R28" s="65"/>
    </row>
    <row r="29" spans="1:18" x14ac:dyDescent="0.3">
      <c r="A29" s="147"/>
      <c r="B29" s="147" t="s">
        <v>491</v>
      </c>
      <c r="C29" s="149" t="s">
        <v>568</v>
      </c>
      <c r="E29" s="148"/>
      <c r="F29" s="160" t="s">
        <v>568</v>
      </c>
      <c r="P29" s="65"/>
      <c r="Q29" s="65"/>
      <c r="R29" s="65"/>
    </row>
    <row r="30" spans="1:18" x14ac:dyDescent="0.3">
      <c r="A30" s="149"/>
      <c r="B30" s="149" t="s">
        <v>113</v>
      </c>
      <c r="C30" s="149" t="s">
        <v>69</v>
      </c>
      <c r="E30" s="160" t="s">
        <v>492</v>
      </c>
      <c r="F30" s="160" t="s">
        <v>68</v>
      </c>
      <c r="H30" s="75"/>
      <c r="I30" s="97" t="s">
        <v>494</v>
      </c>
      <c r="J30" s="159" t="s">
        <v>69</v>
      </c>
    </row>
    <row r="31" spans="1:18" x14ac:dyDescent="0.3">
      <c r="A31" s="149">
        <v>1</v>
      </c>
      <c r="B31" s="150" t="s">
        <v>490</v>
      </c>
      <c r="C31" s="151">
        <v>1E-3</v>
      </c>
      <c r="E31" s="161" t="s">
        <v>493</v>
      </c>
      <c r="F31" s="162">
        <v>10</v>
      </c>
      <c r="H31" s="75"/>
      <c r="I31" s="80" t="s">
        <v>493</v>
      </c>
      <c r="J31" s="82">
        <v>10</v>
      </c>
      <c r="L31" s="168" t="s">
        <v>497</v>
      </c>
      <c r="M31" s="169" t="s">
        <v>66</v>
      </c>
      <c r="O31" s="118" t="s">
        <v>113</v>
      </c>
      <c r="P31" s="118" t="s">
        <v>68</v>
      </c>
    </row>
    <row r="32" spans="1:18" x14ac:dyDescent="0.3">
      <c r="A32" s="149">
        <v>2</v>
      </c>
      <c r="B32" s="152" t="s">
        <v>68</v>
      </c>
      <c r="C32" s="153">
        <v>1</v>
      </c>
      <c r="E32" s="163" t="s">
        <v>69</v>
      </c>
      <c r="F32" s="164">
        <v>1</v>
      </c>
      <c r="H32" s="75"/>
      <c r="I32" s="96" t="s">
        <v>69</v>
      </c>
      <c r="J32" s="98">
        <v>1</v>
      </c>
      <c r="L32" s="170" t="s">
        <v>434</v>
      </c>
      <c r="M32" s="171">
        <v>0.06</v>
      </c>
      <c r="O32" s="99" t="s">
        <v>490</v>
      </c>
      <c r="P32" s="120">
        <v>1E-3</v>
      </c>
    </row>
    <row r="33" spans="1:17" x14ac:dyDescent="0.3">
      <c r="A33" s="149">
        <v>3</v>
      </c>
      <c r="B33" s="152" t="s">
        <v>428</v>
      </c>
      <c r="C33" s="153">
        <v>10</v>
      </c>
      <c r="D33" s="118"/>
      <c r="E33" s="163" t="s">
        <v>424</v>
      </c>
      <c r="F33" s="164">
        <v>10</v>
      </c>
      <c r="H33" s="75"/>
      <c r="I33" s="96" t="s">
        <v>424</v>
      </c>
      <c r="J33" s="98">
        <v>10</v>
      </c>
      <c r="K33" s="65"/>
      <c r="L33" s="172" t="s">
        <v>56</v>
      </c>
      <c r="M33" s="173">
        <v>60</v>
      </c>
      <c r="O33" s="101" t="s">
        <v>68</v>
      </c>
      <c r="P33" s="121">
        <v>1</v>
      </c>
      <c r="Q33" s="93" t="s">
        <v>312</v>
      </c>
    </row>
    <row r="34" spans="1:17" x14ac:dyDescent="0.3">
      <c r="A34" s="154">
        <v>4</v>
      </c>
      <c r="B34" s="152" t="s">
        <v>427</v>
      </c>
      <c r="C34" s="153">
        <v>100</v>
      </c>
      <c r="D34" s="118"/>
      <c r="E34" s="163" t="s">
        <v>423</v>
      </c>
      <c r="F34" s="164">
        <v>100</v>
      </c>
      <c r="H34" s="75"/>
      <c r="I34" s="96" t="s">
        <v>423</v>
      </c>
      <c r="J34" s="98">
        <v>100</v>
      </c>
      <c r="K34" s="65"/>
      <c r="L34" s="172" t="s">
        <v>432</v>
      </c>
      <c r="M34" s="173">
        <v>600</v>
      </c>
      <c r="O34" s="101" t="s">
        <v>428</v>
      </c>
      <c r="P34" s="121">
        <v>10</v>
      </c>
    </row>
    <row r="35" spans="1:17" x14ac:dyDescent="0.3">
      <c r="A35" s="154">
        <v>5</v>
      </c>
      <c r="B35" s="155"/>
      <c r="C35" s="156"/>
      <c r="D35" s="118"/>
      <c r="E35" s="163" t="s">
        <v>425</v>
      </c>
      <c r="F35" s="164">
        <v>1000</v>
      </c>
      <c r="H35" s="75"/>
      <c r="I35" s="96" t="s">
        <v>425</v>
      </c>
      <c r="J35" s="98">
        <v>1000</v>
      </c>
      <c r="K35" s="65"/>
      <c r="L35" s="172" t="s">
        <v>431</v>
      </c>
      <c r="M35" s="173">
        <v>6000</v>
      </c>
      <c r="O35" s="101" t="s">
        <v>427</v>
      </c>
      <c r="P35" s="121">
        <v>100</v>
      </c>
      <c r="Q35" s="93">
        <v>12</v>
      </c>
    </row>
    <row r="36" spans="1:17" x14ac:dyDescent="0.3">
      <c r="A36" s="154">
        <v>6</v>
      </c>
      <c r="B36" s="157"/>
      <c r="C36" s="158"/>
      <c r="D36" s="118"/>
      <c r="E36" s="165"/>
      <c r="F36" s="166"/>
      <c r="H36" s="75"/>
      <c r="I36" s="81"/>
      <c r="J36" s="83"/>
      <c r="L36" s="174"/>
      <c r="M36" s="175"/>
      <c r="O36" s="68"/>
      <c r="P36" s="62"/>
    </row>
    <row r="38" spans="1:17" x14ac:dyDescent="0.3">
      <c r="L38" s="168" t="s">
        <v>497</v>
      </c>
      <c r="M38" s="169" t="s">
        <v>56</v>
      </c>
    </row>
    <row r="39" spans="1:17" x14ac:dyDescent="0.3">
      <c r="L39" s="170" t="s">
        <v>434</v>
      </c>
      <c r="M39" s="171">
        <v>1E-3</v>
      </c>
    </row>
    <row r="40" spans="1:17" x14ac:dyDescent="0.3">
      <c r="L40" s="172" t="s">
        <v>56</v>
      </c>
      <c r="M40" s="173">
        <v>1</v>
      </c>
    </row>
    <row r="41" spans="1:17" x14ac:dyDescent="0.3">
      <c r="L41" s="172" t="s">
        <v>432</v>
      </c>
      <c r="M41" s="173">
        <v>10</v>
      </c>
    </row>
    <row r="42" spans="1:17" x14ac:dyDescent="0.3">
      <c r="L42" s="172" t="s">
        <v>431</v>
      </c>
      <c r="M42" s="173">
        <v>100</v>
      </c>
    </row>
    <row r="43" spans="1:17" x14ac:dyDescent="0.3">
      <c r="L43" s="174"/>
      <c r="M43" s="175"/>
    </row>
    <row r="45" spans="1:17" x14ac:dyDescent="0.3">
      <c r="L45" s="168" t="s">
        <v>497</v>
      </c>
      <c r="M45" s="176" t="s">
        <v>434</v>
      </c>
    </row>
    <row r="46" spans="1:17" x14ac:dyDescent="0.3">
      <c r="L46" s="170" t="s">
        <v>434</v>
      </c>
      <c r="M46" s="171">
        <v>1</v>
      </c>
    </row>
    <row r="47" spans="1:17" x14ac:dyDescent="0.3">
      <c r="K47" s="118"/>
      <c r="L47" s="172" t="s">
        <v>56</v>
      </c>
      <c r="M47" s="173">
        <v>1000</v>
      </c>
      <c r="N47" s="118"/>
    </row>
    <row r="48" spans="1:17" x14ac:dyDescent="0.3">
      <c r="L48" s="172" t="s">
        <v>432</v>
      </c>
      <c r="M48" s="173">
        <v>10000</v>
      </c>
    </row>
    <row r="49" spans="1:15" x14ac:dyDescent="0.3">
      <c r="L49" s="172" t="s">
        <v>431</v>
      </c>
      <c r="M49" s="173">
        <v>100000</v>
      </c>
    </row>
    <row r="50" spans="1:15" x14ac:dyDescent="0.3">
      <c r="L50" s="174"/>
      <c r="M50" s="175"/>
    </row>
    <row r="53" spans="1:15" x14ac:dyDescent="0.3">
      <c r="A53" s="227" t="s">
        <v>581</v>
      </c>
      <c r="B53" s="227"/>
      <c r="C53" s="227"/>
      <c r="D53" s="227"/>
      <c r="E53" s="227"/>
      <c r="F53" s="227"/>
      <c r="G53" s="227"/>
      <c r="H53" s="227"/>
      <c r="I53" s="227"/>
      <c r="J53" s="227"/>
      <c r="K53" s="227"/>
      <c r="L53" s="227"/>
      <c r="M53" s="227"/>
      <c r="N53" s="227"/>
      <c r="O53" s="227"/>
    </row>
    <row r="55" spans="1:15" x14ac:dyDescent="0.3">
      <c r="A55" s="118" t="s">
        <v>244</v>
      </c>
    </row>
    <row r="56" spans="1:15" x14ac:dyDescent="0.3">
      <c r="A56" s="67"/>
      <c r="B56" s="119" t="s">
        <v>50</v>
      </c>
      <c r="C56" s="120" t="s">
        <v>244</v>
      </c>
    </row>
    <row r="57" spans="1:15" x14ac:dyDescent="0.3">
      <c r="A57" s="101">
        <v>1</v>
      </c>
      <c r="B57" s="102">
        <v>50</v>
      </c>
      <c r="C57" s="121">
        <v>1.8</v>
      </c>
    </row>
    <row r="58" spans="1:15" x14ac:dyDescent="0.3">
      <c r="A58" s="101">
        <v>2</v>
      </c>
      <c r="B58" s="102">
        <v>60</v>
      </c>
      <c r="C58" s="121">
        <v>2.2000000000000002</v>
      </c>
    </row>
    <row r="59" spans="1:15" x14ac:dyDescent="0.3">
      <c r="A59" s="101">
        <v>3</v>
      </c>
      <c r="B59" s="102">
        <v>70</v>
      </c>
      <c r="C59" s="121">
        <v>2.5</v>
      </c>
    </row>
    <row r="60" spans="1:15" x14ac:dyDescent="0.3">
      <c r="A60" s="101">
        <v>4</v>
      </c>
      <c r="B60" s="102">
        <v>80</v>
      </c>
      <c r="C60" s="121">
        <v>2.9</v>
      </c>
    </row>
    <row r="61" spans="1:15" x14ac:dyDescent="0.3">
      <c r="A61" s="101">
        <v>5</v>
      </c>
      <c r="B61" s="102">
        <v>90</v>
      </c>
      <c r="C61" s="121">
        <v>3.2</v>
      </c>
    </row>
    <row r="62" spans="1:15" x14ac:dyDescent="0.3">
      <c r="A62" s="101">
        <v>6</v>
      </c>
      <c r="B62" s="102">
        <v>100</v>
      </c>
      <c r="C62" s="121">
        <v>3.6</v>
      </c>
    </row>
    <row r="63" spans="1:15" x14ac:dyDescent="0.3">
      <c r="A63" s="101">
        <v>7</v>
      </c>
      <c r="B63" s="102">
        <v>110</v>
      </c>
      <c r="C63" s="121">
        <v>3.9</v>
      </c>
    </row>
    <row r="64" spans="1:15" x14ac:dyDescent="0.3">
      <c r="A64" s="103">
        <v>8</v>
      </c>
      <c r="B64" s="105">
        <v>120</v>
      </c>
      <c r="C64" s="122">
        <v>4.3</v>
      </c>
    </row>
    <row r="67" spans="1:15" x14ac:dyDescent="0.3">
      <c r="A67" s="227" t="s">
        <v>582</v>
      </c>
      <c r="B67" s="227"/>
      <c r="C67" s="227"/>
      <c r="D67" s="227"/>
      <c r="E67" s="227"/>
      <c r="F67" s="227"/>
      <c r="G67" s="227"/>
      <c r="H67" s="227"/>
      <c r="I67" s="227"/>
      <c r="J67" s="227"/>
      <c r="K67" s="227"/>
      <c r="L67" s="227"/>
      <c r="M67" s="227"/>
      <c r="N67" s="227"/>
      <c r="O67" s="227"/>
    </row>
    <row r="71" spans="1:15" x14ac:dyDescent="0.3">
      <c r="C71" s="45" t="s">
        <v>313</v>
      </c>
      <c r="D71" s="45" t="s">
        <v>314</v>
      </c>
      <c r="E71" s="45" t="s">
        <v>316</v>
      </c>
      <c r="F71" s="45" t="s">
        <v>379</v>
      </c>
      <c r="G71" s="45" t="s">
        <v>379</v>
      </c>
    </row>
    <row r="72" spans="1:15" x14ac:dyDescent="0.3">
      <c r="D72" s="45" t="s">
        <v>315</v>
      </c>
      <c r="E72" s="45" t="s">
        <v>317</v>
      </c>
      <c r="F72" s="45" t="s">
        <v>380</v>
      </c>
      <c r="G72" s="45" t="s">
        <v>381</v>
      </c>
    </row>
    <row r="73" spans="1:15" x14ac:dyDescent="0.3">
      <c r="C73" s="45" t="s">
        <v>86</v>
      </c>
    </row>
    <row r="74" spans="1:15" x14ac:dyDescent="0.3">
      <c r="C74" s="99"/>
      <c r="D74" s="100" t="s">
        <v>322</v>
      </c>
      <c r="E74" s="100" t="s">
        <v>377</v>
      </c>
      <c r="F74" s="100" t="s">
        <v>378</v>
      </c>
      <c r="G74" s="100" t="s">
        <v>323</v>
      </c>
      <c r="H74" s="64"/>
    </row>
    <row r="75" spans="1:15" x14ac:dyDescent="0.3">
      <c r="C75" s="101">
        <v>1</v>
      </c>
      <c r="D75" s="102">
        <v>0.5</v>
      </c>
      <c r="E75" s="102">
        <v>0.5</v>
      </c>
      <c r="F75" s="102">
        <v>0.5</v>
      </c>
      <c r="G75" s="102">
        <v>0.5</v>
      </c>
      <c r="H75" s="66"/>
    </row>
    <row r="76" spans="1:15" x14ac:dyDescent="0.3">
      <c r="C76" s="101">
        <v>2</v>
      </c>
      <c r="D76" s="102">
        <v>0.56000000000000005</v>
      </c>
      <c r="E76" s="102">
        <v>0.56000000000000005</v>
      </c>
      <c r="F76" s="102">
        <v>0.56000000000000005</v>
      </c>
      <c r="G76" s="102">
        <v>0.56000000000000005</v>
      </c>
      <c r="H76" s="66"/>
    </row>
    <row r="77" spans="1:15" x14ac:dyDescent="0.3">
      <c r="C77" s="101">
        <v>3</v>
      </c>
      <c r="D77" s="102">
        <v>0.63</v>
      </c>
      <c r="E77" s="102">
        <v>0.63</v>
      </c>
      <c r="F77" s="102">
        <v>0.63</v>
      </c>
      <c r="G77" s="102">
        <v>0.63</v>
      </c>
      <c r="H77" s="66"/>
    </row>
    <row r="78" spans="1:15" x14ac:dyDescent="0.3">
      <c r="C78" s="101">
        <v>4</v>
      </c>
      <c r="D78" s="102">
        <v>0.71</v>
      </c>
      <c r="E78" s="102">
        <v>0.71</v>
      </c>
      <c r="F78" s="102">
        <v>0.71</v>
      </c>
      <c r="G78" s="102">
        <v>0.71</v>
      </c>
      <c r="H78" s="66"/>
    </row>
    <row r="79" spans="1:15" x14ac:dyDescent="0.3">
      <c r="C79" s="101">
        <v>5</v>
      </c>
      <c r="D79" s="102">
        <v>0.8</v>
      </c>
      <c r="E79" s="102">
        <v>0.8</v>
      </c>
      <c r="F79" s="102">
        <v>0.8</v>
      </c>
      <c r="G79" s="102">
        <v>0.8</v>
      </c>
      <c r="H79" s="66"/>
    </row>
    <row r="80" spans="1:15" x14ac:dyDescent="0.3">
      <c r="C80" s="101">
        <v>6</v>
      </c>
      <c r="D80" s="102">
        <v>0.9</v>
      </c>
      <c r="E80" s="102">
        <v>0.9</v>
      </c>
      <c r="F80" s="102">
        <v>0.9</v>
      </c>
      <c r="G80" s="102">
        <v>0.9</v>
      </c>
      <c r="H80" s="66"/>
    </row>
    <row r="81" spans="3:8" x14ac:dyDescent="0.3">
      <c r="C81" s="101">
        <v>7</v>
      </c>
      <c r="D81" s="142">
        <v>1</v>
      </c>
      <c r="E81" s="142">
        <v>1</v>
      </c>
      <c r="F81" s="142">
        <v>1</v>
      </c>
      <c r="G81" s="142">
        <v>1</v>
      </c>
      <c r="H81" s="66"/>
    </row>
    <row r="82" spans="3:8" x14ac:dyDescent="0.3">
      <c r="C82" s="101">
        <v>8</v>
      </c>
      <c r="D82" s="102">
        <v>1.1200000000000001</v>
      </c>
      <c r="E82" s="102">
        <v>1.1200000000000001</v>
      </c>
      <c r="F82" s="102">
        <v>1.1200000000000001</v>
      </c>
      <c r="G82" s="102">
        <v>1.1200000000000001</v>
      </c>
      <c r="H82" s="66"/>
    </row>
    <row r="83" spans="3:8" x14ac:dyDescent="0.3">
      <c r="C83" s="101">
        <v>9</v>
      </c>
      <c r="D83" s="102">
        <v>1.25</v>
      </c>
      <c r="E83" s="102">
        <v>1.25</v>
      </c>
      <c r="F83" s="102">
        <v>1.25</v>
      </c>
      <c r="G83" s="102">
        <v>1.25</v>
      </c>
      <c r="H83" s="66"/>
    </row>
    <row r="84" spans="3:8" x14ac:dyDescent="0.3">
      <c r="C84" s="101">
        <v>10</v>
      </c>
      <c r="D84" s="102">
        <v>1.4</v>
      </c>
      <c r="E84" s="102">
        <v>1.4</v>
      </c>
      <c r="F84" s="102">
        <v>1.4</v>
      </c>
      <c r="G84" s="102">
        <v>1.4</v>
      </c>
      <c r="H84" s="66"/>
    </row>
    <row r="85" spans="3:8" x14ac:dyDescent="0.3">
      <c r="C85" s="101">
        <v>11</v>
      </c>
      <c r="D85" s="102">
        <v>1.6</v>
      </c>
      <c r="E85" s="102">
        <v>1.6</v>
      </c>
      <c r="F85" s="102">
        <v>1.6</v>
      </c>
      <c r="G85" s="102">
        <v>1.6</v>
      </c>
      <c r="H85" s="66"/>
    </row>
    <row r="86" spans="3:8" x14ac:dyDescent="0.3">
      <c r="C86" s="101">
        <v>12</v>
      </c>
      <c r="D86" s="102">
        <v>1.8</v>
      </c>
      <c r="E86" s="102">
        <v>1.8</v>
      </c>
      <c r="F86" s="102">
        <v>1.8</v>
      </c>
      <c r="G86" s="102">
        <v>1.8</v>
      </c>
      <c r="H86" s="66"/>
    </row>
    <row r="87" spans="3:8" x14ac:dyDescent="0.3">
      <c r="C87" s="101">
        <v>13</v>
      </c>
      <c r="D87" s="142">
        <v>2</v>
      </c>
      <c r="E87" s="142">
        <v>2</v>
      </c>
      <c r="F87" s="142">
        <v>2</v>
      </c>
      <c r="G87" s="142">
        <v>2</v>
      </c>
      <c r="H87" s="66"/>
    </row>
    <row r="88" spans="3:8" x14ac:dyDescent="0.3">
      <c r="C88" s="101">
        <v>14</v>
      </c>
      <c r="D88" s="102">
        <v>2.2400000000000002</v>
      </c>
      <c r="E88" s="102">
        <v>2.2400000000000002</v>
      </c>
      <c r="F88" s="102">
        <v>2.2400000000000002</v>
      </c>
      <c r="G88" s="102">
        <v>2.2400000000000002</v>
      </c>
      <c r="H88" s="66"/>
    </row>
    <row r="89" spans="3:8" x14ac:dyDescent="0.3">
      <c r="C89" s="101">
        <v>15</v>
      </c>
      <c r="D89" s="102">
        <v>2.5</v>
      </c>
      <c r="E89" s="102">
        <v>2.5</v>
      </c>
      <c r="F89" s="102">
        <v>2.5</v>
      </c>
      <c r="G89" s="102">
        <v>2.5</v>
      </c>
      <c r="H89" s="66"/>
    </row>
    <row r="90" spans="3:8" x14ac:dyDescent="0.3">
      <c r="C90" s="101">
        <v>16</v>
      </c>
      <c r="D90" s="102">
        <v>2.8</v>
      </c>
      <c r="E90" s="102">
        <v>2.8</v>
      </c>
      <c r="F90" s="102">
        <v>2.8</v>
      </c>
      <c r="G90" s="102">
        <v>2.8</v>
      </c>
      <c r="H90" s="66"/>
    </row>
    <row r="91" spans="3:8" x14ac:dyDescent="0.3">
      <c r="C91" s="101">
        <v>17</v>
      </c>
      <c r="D91" s="102">
        <v>3.15</v>
      </c>
      <c r="E91" s="102">
        <v>3.15</v>
      </c>
      <c r="F91" s="102">
        <v>3.15</v>
      </c>
      <c r="G91" s="102">
        <v>3.15</v>
      </c>
      <c r="H91" s="66"/>
    </row>
    <row r="92" spans="3:8" x14ac:dyDescent="0.3">
      <c r="C92" s="101">
        <v>18</v>
      </c>
      <c r="D92" s="102">
        <v>3.55</v>
      </c>
      <c r="E92" s="102">
        <v>3.55</v>
      </c>
      <c r="F92" s="102">
        <v>3.55</v>
      </c>
      <c r="G92" s="102">
        <v>3.55</v>
      </c>
      <c r="H92" s="66"/>
    </row>
    <row r="93" spans="3:8" x14ac:dyDescent="0.3">
      <c r="C93" s="101">
        <v>19</v>
      </c>
      <c r="D93" s="142">
        <v>4</v>
      </c>
      <c r="E93" s="142">
        <v>4</v>
      </c>
      <c r="F93" s="142">
        <v>4</v>
      </c>
      <c r="G93" s="142">
        <v>4</v>
      </c>
      <c r="H93" s="66"/>
    </row>
    <row r="94" spans="3:8" x14ac:dyDescent="0.3">
      <c r="C94" s="101">
        <v>20</v>
      </c>
      <c r="D94" s="102">
        <v>4.5</v>
      </c>
      <c r="E94" s="102">
        <v>4.5</v>
      </c>
      <c r="F94" s="102">
        <v>4.5</v>
      </c>
      <c r="G94" s="102">
        <v>4.5</v>
      </c>
      <c r="H94" s="66"/>
    </row>
    <row r="95" spans="3:8" x14ac:dyDescent="0.3">
      <c r="C95" s="103">
        <v>21</v>
      </c>
      <c r="D95" s="143">
        <v>5</v>
      </c>
      <c r="E95" s="143">
        <v>5</v>
      </c>
      <c r="F95" s="143">
        <v>5</v>
      </c>
      <c r="G95" s="143">
        <v>5</v>
      </c>
      <c r="H95" s="62"/>
    </row>
    <row r="97" spans="3:8" x14ac:dyDescent="0.3">
      <c r="D97" s="95" t="e">
        <f>HLOOKUP(Q4,D74:F95,Q6+1,FALSE)</f>
        <v>#N/A</v>
      </c>
    </row>
    <row r="100" spans="3:8" x14ac:dyDescent="0.3">
      <c r="C100" s="45" t="s">
        <v>82</v>
      </c>
    </row>
    <row r="101" spans="3:8" x14ac:dyDescent="0.3">
      <c r="C101" s="99"/>
      <c r="D101" s="100" t="s">
        <v>322</v>
      </c>
      <c r="E101" s="100" t="s">
        <v>377</v>
      </c>
      <c r="F101" s="100" t="s">
        <v>323</v>
      </c>
      <c r="G101" s="100" t="s">
        <v>378</v>
      </c>
      <c r="H101" s="64"/>
    </row>
    <row r="102" spans="3:8" x14ac:dyDescent="0.3">
      <c r="C102" s="101">
        <v>1</v>
      </c>
      <c r="D102" s="102">
        <v>16.7</v>
      </c>
      <c r="E102" s="102">
        <v>12.3</v>
      </c>
      <c r="F102" s="102">
        <v>13.2</v>
      </c>
      <c r="G102" s="102">
        <v>16.7</v>
      </c>
      <c r="H102" s="66"/>
    </row>
    <row r="103" spans="3:8" x14ac:dyDescent="0.3">
      <c r="C103" s="101">
        <v>2</v>
      </c>
      <c r="D103" s="102">
        <v>14.8</v>
      </c>
      <c r="E103" s="102">
        <v>10.8</v>
      </c>
      <c r="F103" s="102">
        <v>10.7</v>
      </c>
      <c r="G103" s="102">
        <v>14.8</v>
      </c>
      <c r="H103" s="66"/>
    </row>
    <row r="104" spans="3:8" x14ac:dyDescent="0.3">
      <c r="C104" s="101">
        <v>3</v>
      </c>
      <c r="D104" s="102">
        <v>12.8</v>
      </c>
      <c r="E104" s="102">
        <v>8.6</v>
      </c>
      <c r="F104" s="102">
        <v>9.6999999999999993</v>
      </c>
      <c r="G104" s="102">
        <v>12.8</v>
      </c>
      <c r="H104" s="66"/>
    </row>
    <row r="105" spans="3:8" x14ac:dyDescent="0.3">
      <c r="C105" s="101">
        <v>4</v>
      </c>
      <c r="D105" s="102">
        <v>10.9</v>
      </c>
      <c r="E105" s="102">
        <v>7.6</v>
      </c>
      <c r="F105" s="102">
        <v>8.6</v>
      </c>
      <c r="G105" s="102">
        <v>10.9</v>
      </c>
      <c r="H105" s="66"/>
    </row>
    <row r="106" spans="3:8" x14ac:dyDescent="0.3">
      <c r="C106" s="101">
        <v>5</v>
      </c>
      <c r="D106" s="102">
        <v>8.8000000000000007</v>
      </c>
      <c r="E106" s="102">
        <v>6.6</v>
      </c>
      <c r="F106" s="102">
        <v>7.6</v>
      </c>
      <c r="G106" s="102">
        <v>8.8000000000000007</v>
      </c>
      <c r="H106" s="66"/>
    </row>
    <row r="107" spans="3:8" x14ac:dyDescent="0.3">
      <c r="C107" s="101">
        <v>6</v>
      </c>
      <c r="D107" s="102">
        <v>7.5</v>
      </c>
      <c r="E107" s="102">
        <v>5.5</v>
      </c>
      <c r="F107" s="102">
        <v>6.6</v>
      </c>
      <c r="G107" s="102">
        <v>7.5</v>
      </c>
      <c r="H107" s="66"/>
    </row>
    <row r="108" spans="3:8" x14ac:dyDescent="0.3">
      <c r="C108" s="101">
        <v>7</v>
      </c>
      <c r="D108" s="102">
        <v>6.7</v>
      </c>
      <c r="E108" s="102">
        <v>4.5</v>
      </c>
      <c r="F108" s="102">
        <v>5.6</v>
      </c>
      <c r="G108" s="102">
        <v>6.7</v>
      </c>
      <c r="H108" s="66"/>
    </row>
    <row r="109" spans="3:8" x14ac:dyDescent="0.3">
      <c r="C109" s="101">
        <v>8</v>
      </c>
      <c r="D109" s="102">
        <v>5.3</v>
      </c>
      <c r="E109" s="102">
        <v>3.9</v>
      </c>
      <c r="F109" s="102">
        <v>4.7</v>
      </c>
      <c r="G109" s="102">
        <v>5.3</v>
      </c>
      <c r="H109" s="66"/>
    </row>
    <row r="110" spans="3:8" x14ac:dyDescent="0.3">
      <c r="C110" s="101">
        <v>9</v>
      </c>
      <c r="D110" s="102">
        <v>4.5</v>
      </c>
      <c r="E110" s="102">
        <v>3.3</v>
      </c>
      <c r="F110" s="102">
        <v>3.9</v>
      </c>
      <c r="G110" s="102">
        <v>4.5</v>
      </c>
      <c r="H110" s="66"/>
    </row>
    <row r="111" spans="3:8" x14ac:dyDescent="0.3">
      <c r="C111" s="101">
        <v>10</v>
      </c>
      <c r="D111" s="102">
        <v>3.9</v>
      </c>
      <c r="E111" s="102">
        <v>2.7</v>
      </c>
      <c r="F111" s="102">
        <v>3.3</v>
      </c>
      <c r="G111" s="102">
        <v>3.9</v>
      </c>
      <c r="H111" s="66"/>
    </row>
    <row r="112" spans="3:8" x14ac:dyDescent="0.3">
      <c r="C112" s="101">
        <v>11</v>
      </c>
      <c r="D112" s="102">
        <v>3.2</v>
      </c>
      <c r="E112" s="102">
        <v>2.2999999999999998</v>
      </c>
      <c r="F112" s="102">
        <v>2.8</v>
      </c>
      <c r="G112" s="102">
        <v>3.2</v>
      </c>
      <c r="H112" s="66"/>
    </row>
    <row r="113" spans="3:8" x14ac:dyDescent="0.3">
      <c r="C113" s="101">
        <v>12</v>
      </c>
      <c r="D113" s="102">
        <v>2.7</v>
      </c>
      <c r="E113" s="102">
        <v>1.8</v>
      </c>
      <c r="F113" s="102">
        <v>2.4</v>
      </c>
      <c r="G113" s="102">
        <v>2.7</v>
      </c>
      <c r="H113" s="66"/>
    </row>
    <row r="114" spans="3:8" x14ac:dyDescent="0.3">
      <c r="C114" s="101">
        <v>13</v>
      </c>
      <c r="D114" s="102">
        <v>2.2000000000000002</v>
      </c>
      <c r="E114" s="102">
        <v>1.6</v>
      </c>
      <c r="F114" s="102">
        <v>2</v>
      </c>
      <c r="G114" s="102">
        <v>2.2000000000000002</v>
      </c>
      <c r="H114" s="66"/>
    </row>
    <row r="115" spans="3:8" x14ac:dyDescent="0.3">
      <c r="C115" s="101">
        <v>14</v>
      </c>
      <c r="D115" s="102">
        <v>1.7</v>
      </c>
      <c r="E115" s="102">
        <v>1.3</v>
      </c>
      <c r="F115" s="102">
        <v>1.6</v>
      </c>
      <c r="G115" s="102">
        <v>1.7</v>
      </c>
      <c r="H115" s="66"/>
    </row>
    <row r="116" spans="3:8" x14ac:dyDescent="0.3">
      <c r="C116" s="101">
        <v>15</v>
      </c>
      <c r="D116" s="102">
        <v>1.5</v>
      </c>
      <c r="E116" s="102">
        <v>1.1000000000000001</v>
      </c>
      <c r="F116" s="102">
        <v>1.1000000000000001</v>
      </c>
      <c r="G116" s="102">
        <v>1.5</v>
      </c>
      <c r="H116" s="66"/>
    </row>
    <row r="117" spans="3:8" x14ac:dyDescent="0.3">
      <c r="C117" s="101">
        <v>16</v>
      </c>
      <c r="D117" s="102">
        <v>1.3</v>
      </c>
      <c r="E117" s="102">
        <v>0.9</v>
      </c>
      <c r="F117" s="102">
        <v>0.8</v>
      </c>
      <c r="G117" s="102">
        <v>1.3</v>
      </c>
      <c r="H117" s="66"/>
    </row>
    <row r="118" spans="3:8" x14ac:dyDescent="0.3">
      <c r="C118" s="101">
        <v>17</v>
      </c>
      <c r="D118" s="102">
        <v>1.1000000000000001</v>
      </c>
      <c r="E118" s="102">
        <v>0.7</v>
      </c>
      <c r="F118" s="102">
        <v>0.5</v>
      </c>
      <c r="G118" s="102">
        <v>1.1000000000000001</v>
      </c>
      <c r="H118" s="66"/>
    </row>
    <row r="119" spans="3:8" x14ac:dyDescent="0.3">
      <c r="C119" s="103">
        <v>18</v>
      </c>
      <c r="D119" s="105">
        <v>0.9</v>
      </c>
      <c r="E119" s="105">
        <v>0.45</v>
      </c>
      <c r="F119" s="105">
        <v>0.3</v>
      </c>
      <c r="G119" s="105">
        <v>0.9</v>
      </c>
      <c r="H119" s="62"/>
    </row>
    <row r="121" spans="3:8" x14ac:dyDescent="0.3">
      <c r="D121" s="93" t="e">
        <f>HLOOKUP(Q33,D101:F119,Q35+1,FALSE)</f>
        <v>#N/A</v>
      </c>
    </row>
  </sheetData>
  <sheetProtection algorithmName="SHA-512" hashValue="V7TdckFLuF17C3mmoMEugNzFbzVBc05VKTc+25x8HIZDeYsglytyd7qDPA38v5OKfIEfVUMxgl8kHEIZQBsNhw==" saltValue="YpCdXc0gr4P6Py4OJJtw3A==" spinCount="100000" sheet="1" selectLockedCells="1" selectUnlockedCell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13</vt:i4>
      </vt:variant>
      <vt:variant>
        <vt:lpstr>Navngivne områder</vt:lpstr>
      </vt:variant>
      <vt:variant>
        <vt:i4>3</vt:i4>
      </vt:variant>
    </vt:vector>
  </HeadingPairs>
  <TitlesOfParts>
    <vt:vector size="16" baseType="lpstr">
      <vt:lpstr>Oplysningsside</vt:lpstr>
      <vt:lpstr>Kontroloversigt</vt:lpstr>
      <vt:lpstr>2. Mekaniske og geometriske par</vt:lpstr>
      <vt:lpstr>3. Røntgenrør og generator</vt:lpstr>
      <vt:lpstr>4. Dosis og dosishastighed</vt:lpstr>
      <vt:lpstr>5. Monitorer og billedkvalitet</vt:lpstr>
      <vt:lpstr>6. Eftersyn</vt:lpstr>
      <vt:lpstr>Ark2</vt:lpstr>
      <vt:lpstr>Data</vt:lpstr>
      <vt:lpstr>Ark9</vt:lpstr>
      <vt:lpstr>Ark8</vt:lpstr>
      <vt:lpstr>Ark7</vt:lpstr>
      <vt:lpstr>Ark3</vt:lpstr>
      <vt:lpstr>Kontroloversigt!_Toc170377437</vt:lpstr>
      <vt:lpstr>Kontroloversigt!_Toc170377441</vt:lpstr>
      <vt:lpstr>'5. Monitorer og billedkvalitet'!_Toc171069704</vt:lpstr>
    </vt:vector>
  </TitlesOfParts>
  <Company>Region Hovedstaden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 Henning Andersen</dc:creator>
  <cp:lastModifiedBy>Signe Struberga</cp:lastModifiedBy>
  <cp:lastPrinted>2025-11-23T15:32:28Z</cp:lastPrinted>
  <dcterms:created xsi:type="dcterms:W3CDTF">2020-11-17T13:30:30Z</dcterms:created>
  <dcterms:modified xsi:type="dcterms:W3CDTF">2026-03-02T08:41:51Z</dcterms:modified>
</cp:coreProperties>
</file>