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B:\ELF\EL\06 Gruppe  - Forsyningssikkerhed\CONE_ReliabilityStandard_Denmark\CONE rapport\"/>
    </mc:Choice>
  </mc:AlternateContent>
  <xr:revisionPtr revIDLastSave="0" documentId="13_ncr:1_{95FBAD17-F2A8-4D36-9A83-9E9B82D84D20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CONE_fixed" sheetId="3" r:id="rId1"/>
    <sheet name="LOLE" sheetId="4" r:id="rId2"/>
    <sheet name="CONE_var" sheetId="5" r:id="rId3"/>
    <sheet name="DeratingTotal" sheetId="7" r:id="rId4"/>
    <sheet name="Prices" sheetId="8" r:id="rId5"/>
    <sheet name="VOLL_CONE_RS_DK" sheetId="1" r:id="rId6"/>
    <sheet name="VOLL_CONE_RS_Comparison" sheetId="2" r:id="rId7"/>
  </sheets>
  <definedNames>
    <definedName name="_xlnm._FilterDatabase" localSheetId="5" hidden="1">VOLL_CONE_RS_DK!$A$17:$CT$74</definedName>
    <definedName name="BiogasPrice">Prices!$V$21</definedName>
    <definedName name="Carbonprice">Prices!$V$26</definedName>
    <definedName name="CoalPrice">Prices!$V$7</definedName>
    <definedName name="EURO_exchange_rate">VOLL_CONE_RS_DK!$B$11</definedName>
    <definedName name="FueloilPrice">Prices!$V$8</definedName>
    <definedName name="GasoilPriceCentral">Prices!$V$9</definedName>
    <definedName name="GasoilPriceSmall">Prices!$V$15</definedName>
    <definedName name="Heat_capacity_fixed_operating_costs">VOLL_CONE_RS_DK!$B$13</definedName>
    <definedName name="Heat_capacity_unit_investment_cost">VOLL_CONE_RS_DK!$B$12</definedName>
    <definedName name="HydrogenPrice" localSheetId="4">Prices!$V$20</definedName>
    <definedName name="HydrogenPrice">Prices!$V$20</definedName>
    <definedName name="NatgasPriceCentral">Prices!$V$10</definedName>
    <definedName name="NatgasPriceSmall">Prices!$V$16</definedName>
    <definedName name="StrawPriceCentral">Prices!$V$11</definedName>
    <definedName name="StrawPriceSmall">Prices!$V$17</definedName>
    <definedName name="UraniumPrice" localSheetId="4">Prices!$V$14</definedName>
    <definedName name="UraniumPrice">Prices!$V$14</definedName>
    <definedName name="VOLL">VOLL_CONE_RS_DK!$B$9</definedName>
    <definedName name="WACC">VOLL_CONE_RS_DK!$B$10</definedName>
    <definedName name="WastePrice" localSheetId="4">Prices!$V$22</definedName>
    <definedName name="WastePrice">Prices!$V$22</definedName>
    <definedName name="WCPriceCentral">Prices!$V$12</definedName>
    <definedName name="WCPriceSmall">Prices!$V$18</definedName>
    <definedName name="WPpriceCentral">Prices!$V$13</definedName>
    <definedName name="WPPriceSmall">Prices!$V$19</definedName>
    <definedName name="Year">VOLL_CONE_RS_DK!$B$7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7" i="1" l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U45" i="1" l="1"/>
  <c r="U44" i="1"/>
  <c r="U43" i="1"/>
  <c r="A93" i="1"/>
  <c r="A81" i="1"/>
  <c r="A82" i="1"/>
  <c r="A87" i="1"/>
  <c r="A84" i="1"/>
  <c r="A86" i="1"/>
  <c r="A85" i="1"/>
  <c r="A83" i="1"/>
  <c r="A92" i="1"/>
  <c r="A91" i="1"/>
  <c r="A96" i="1"/>
  <c r="A94" i="1"/>
  <c r="A95" i="1"/>
  <c r="A90" i="1"/>
  <c r="A89" i="1"/>
  <c r="A97" i="1"/>
  <c r="A88" i="1"/>
  <c r="U63" i="1" l="1"/>
  <c r="U64" i="1"/>
  <c r="U65" i="1"/>
  <c r="S65" i="1"/>
  <c r="S64" i="1"/>
  <c r="S63" i="1"/>
  <c r="E63" i="1"/>
  <c r="D63" i="1"/>
  <c r="E65" i="1"/>
  <c r="D65" i="1"/>
  <c r="E64" i="1"/>
  <c r="D64" i="1"/>
  <c r="S62" i="1"/>
  <c r="L56" i="1"/>
  <c r="L55" i="1"/>
  <c r="L54" i="1"/>
  <c r="L53" i="1"/>
  <c r="L58" i="1" s="1"/>
  <c r="L52" i="1"/>
  <c r="L51" i="1"/>
  <c r="S49" i="1" l="1"/>
  <c r="U41" i="1"/>
  <c r="E41" i="1"/>
  <c r="D41" i="1"/>
  <c r="U40" i="1"/>
  <c r="E40" i="1"/>
  <c r="D40" i="1"/>
  <c r="U37" i="1"/>
  <c r="E37" i="1"/>
  <c r="D37" i="1"/>
  <c r="U36" i="1"/>
  <c r="E36" i="1"/>
  <c r="D36" i="1"/>
  <c r="U33" i="1"/>
  <c r="L33" i="1"/>
  <c r="E33" i="1"/>
  <c r="D33" i="1"/>
  <c r="U32" i="1"/>
  <c r="L32" i="1"/>
  <c r="E32" i="1"/>
  <c r="D32" i="1"/>
  <c r="U31" i="1"/>
  <c r="E31" i="1"/>
  <c r="D31" i="1"/>
  <c r="U28" i="1"/>
  <c r="E28" i="1"/>
  <c r="D28" i="1"/>
  <c r="U27" i="1" l="1"/>
  <c r="L27" i="1"/>
  <c r="L63" i="1" s="1"/>
  <c r="E27" i="1"/>
  <c r="D27" i="1"/>
  <c r="E23" i="1"/>
  <c r="E24" i="1"/>
  <c r="E25" i="1"/>
  <c r="U25" i="1"/>
  <c r="D25" i="1"/>
  <c r="U24" i="1"/>
  <c r="D24" i="1"/>
  <c r="H63" i="1"/>
  <c r="CI63" i="1" s="1"/>
  <c r="U23" i="1"/>
  <c r="D23" i="1"/>
  <c r="U22" i="1"/>
  <c r="U21" i="1"/>
  <c r="U20" i="1"/>
  <c r="N63" i="1"/>
  <c r="K63" i="1"/>
  <c r="J63" i="1"/>
  <c r="P63" i="1" s="1"/>
  <c r="AH63" i="1" l="1"/>
  <c r="AX63" i="1"/>
  <c r="AY63" i="1"/>
  <c r="CD63" i="1"/>
  <c r="CE63" i="1"/>
  <c r="BP63" i="1"/>
  <c r="BA63" i="1"/>
  <c r="BR63" i="1"/>
  <c r="AM63" i="1"/>
  <c r="BD63" i="1"/>
  <c r="AO63" i="1"/>
  <c r="BN63" i="1"/>
  <c r="BO63" i="1"/>
  <c r="CF63" i="1"/>
  <c r="AL63" i="1"/>
  <c r="BT63" i="1"/>
  <c r="AI63" i="1"/>
  <c r="AJ63" i="1"/>
  <c r="AK63" i="1"/>
  <c r="BQ63" i="1"/>
  <c r="BB63" i="1"/>
  <c r="CK63" i="1"/>
  <c r="CL63" i="1"/>
  <c r="BE63" i="1"/>
  <c r="CO63" i="1"/>
  <c r="AZ63" i="1"/>
  <c r="CH63" i="1"/>
  <c r="CJ63" i="1"/>
  <c r="BC63" i="1"/>
  <c r="CM63" i="1"/>
  <c r="AP63" i="1"/>
  <c r="CN63" i="1"/>
  <c r="BG63" i="1"/>
  <c r="BH63" i="1"/>
  <c r="BV63" i="1"/>
  <c r="AQ63" i="1"/>
  <c r="AR63" i="1"/>
  <c r="CP63" i="1"/>
  <c r="BI63" i="1"/>
  <c r="AD63" i="1"/>
  <c r="CR63" i="1"/>
  <c r="BK63" i="1"/>
  <c r="CA63" i="1"/>
  <c r="CS63" i="1"/>
  <c r="BS63" i="1"/>
  <c r="AN63" i="1"/>
  <c r="BW63" i="1"/>
  <c r="AS63" i="1"/>
  <c r="CQ63" i="1"/>
  <c r="BJ63" i="1"/>
  <c r="AV63" i="1"/>
  <c r="CB63" i="1"/>
  <c r="CT63" i="1"/>
  <c r="BU63" i="1"/>
  <c r="BF63" i="1"/>
  <c r="BX63" i="1"/>
  <c r="AC63" i="1"/>
  <c r="BY63" i="1"/>
  <c r="AT63" i="1"/>
  <c r="BZ63" i="1"/>
  <c r="AE63" i="1"/>
  <c r="AU63" i="1"/>
  <c r="AF63" i="1"/>
  <c r="BL63" i="1"/>
  <c r="AG63" i="1"/>
  <c r="AW63" i="1"/>
  <c r="BM63" i="1"/>
  <c r="CC63" i="1"/>
  <c r="CG63" i="1"/>
  <c r="E45" i="1"/>
  <c r="E44" i="1"/>
  <c r="E43" i="1"/>
  <c r="E42" i="1"/>
  <c r="E39" i="1"/>
  <c r="E38" i="1"/>
  <c r="E35" i="1"/>
  <c r="E34" i="1"/>
  <c r="D45" i="1"/>
  <c r="D44" i="1"/>
  <c r="D43" i="1"/>
  <c r="D42" i="1"/>
  <c r="D39" i="1"/>
  <c r="D38" i="1"/>
  <c r="D35" i="1"/>
  <c r="D34" i="1"/>
  <c r="O63" i="1" l="1"/>
  <c r="Q63" i="1" s="1"/>
  <c r="B87" i="1" s="1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CT71" i="1" l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V71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V70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V69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V68" i="1"/>
  <c r="N71" i="1"/>
  <c r="N70" i="1"/>
  <c r="N69" i="1"/>
  <c r="N68" i="1"/>
  <c r="K71" i="1"/>
  <c r="J71" i="1"/>
  <c r="K70" i="1"/>
  <c r="J70" i="1"/>
  <c r="W70" i="1" s="1"/>
  <c r="K69" i="1"/>
  <c r="J69" i="1"/>
  <c r="K68" i="1"/>
  <c r="J68" i="1"/>
  <c r="E68" i="1"/>
  <c r="AI68" i="1" s="1"/>
  <c r="E70" i="1"/>
  <c r="AE70" i="1" s="1"/>
  <c r="E71" i="1"/>
  <c r="AL71" i="1" s="1"/>
  <c r="E69" i="1"/>
  <c r="AL69" i="1" s="1"/>
  <c r="W69" i="1" l="1"/>
  <c r="P68" i="1"/>
  <c r="W71" i="1"/>
  <c r="AC68" i="1"/>
  <c r="AC71" i="1"/>
  <c r="AD68" i="1"/>
  <c r="AF68" i="1"/>
  <c r="AD69" i="1"/>
  <c r="AJ68" i="1"/>
  <c r="AG68" i="1"/>
  <c r="AE68" i="1"/>
  <c r="AF70" i="1"/>
  <c r="AK68" i="1"/>
  <c r="AH69" i="1"/>
  <c r="AK70" i="1"/>
  <c r="AL68" i="1"/>
  <c r="AI69" i="1"/>
  <c r="P69" i="1"/>
  <c r="AG70" i="1"/>
  <c r="AI70" i="1"/>
  <c r="AH70" i="1"/>
  <c r="AC69" i="1"/>
  <c r="AJ70" i="1"/>
  <c r="AE69" i="1"/>
  <c r="AL70" i="1"/>
  <c r="AF69" i="1"/>
  <c r="P71" i="1"/>
  <c r="AG69" i="1"/>
  <c r="AJ69" i="1"/>
  <c r="AD71" i="1"/>
  <c r="AK69" i="1"/>
  <c r="AE71" i="1"/>
  <c r="W68" i="1"/>
  <c r="AF71" i="1"/>
  <c r="P70" i="1"/>
  <c r="AG71" i="1"/>
  <c r="AH71" i="1"/>
  <c r="AH68" i="1"/>
  <c r="AI71" i="1"/>
  <c r="AC70" i="1"/>
  <c r="AJ71" i="1"/>
  <c r="AD70" i="1"/>
  <c r="AK71" i="1"/>
  <c r="L73" i="1"/>
  <c r="O68" i="1" l="1"/>
  <c r="Q68" i="1" s="1"/>
  <c r="O70" i="1"/>
  <c r="Q70" i="1" s="1"/>
  <c r="O69" i="1"/>
  <c r="Q69" i="1" s="1"/>
  <c r="O71" i="1"/>
  <c r="Q71" i="1" s="1"/>
  <c r="L61" i="1"/>
  <c r="L62" i="1" s="1"/>
  <c r="L60" i="1"/>
  <c r="L59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29" i="1"/>
  <c r="L65" i="1" s="1"/>
  <c r="L28" i="1"/>
  <c r="L26" i="1"/>
  <c r="L24" i="1"/>
  <c r="L23" i="1"/>
  <c r="L64" i="1" s="1"/>
  <c r="CT66" i="1" l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V66" i="1"/>
  <c r="N66" i="1"/>
  <c r="K66" i="1"/>
  <c r="J67" i="1"/>
  <c r="J66" i="1"/>
  <c r="P66" i="1" s="1"/>
  <c r="W66" i="1" l="1"/>
  <c r="O66" i="1"/>
  <c r="Q66" i="1" s="1"/>
  <c r="B9" i="1"/>
  <c r="R63" i="1" s="1"/>
  <c r="C87" i="1" s="1"/>
  <c r="J74" i="1"/>
  <c r="J73" i="1"/>
  <c r="J72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R69" i="1" l="1"/>
  <c r="R68" i="1"/>
  <c r="R70" i="1"/>
  <c r="R71" i="1"/>
  <c r="R66" i="1"/>
  <c r="E72" i="1"/>
  <c r="W55" i="1"/>
  <c r="W53" i="1"/>
  <c r="W52" i="1"/>
  <c r="W51" i="1"/>
  <c r="W50" i="1"/>
  <c r="T72" i="1"/>
  <c r="V74" i="1"/>
  <c r="W74" i="1" s="1"/>
  <c r="V67" i="1"/>
  <c r="W67" i="1" s="1"/>
  <c r="V58" i="1"/>
  <c r="W58" i="1" s="1"/>
  <c r="V57" i="1"/>
  <c r="W57" i="1" s="1"/>
  <c r="V56" i="1"/>
  <c r="W56" i="1" s="1"/>
  <c r="V55" i="1"/>
  <c r="V54" i="1"/>
  <c r="W54" i="1" s="1"/>
  <c r="V53" i="1"/>
  <c r="V52" i="1"/>
  <c r="V51" i="1"/>
  <c r="V50" i="1"/>
  <c r="V6" i="8"/>
  <c r="V26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V14" i="8"/>
  <c r="V18" i="8" l="1"/>
  <c r="V17" i="8"/>
  <c r="V16" i="8"/>
  <c r="T24" i="1" s="1"/>
  <c r="V12" i="8"/>
  <c r="V20" i="8"/>
  <c r="V15" i="8"/>
  <c r="V13" i="8"/>
  <c r="T20" i="1" s="1"/>
  <c r="V20" i="1" s="1"/>
  <c r="W20" i="1" s="1"/>
  <c r="V11" i="8"/>
  <c r="V10" i="8"/>
  <c r="T23" i="1" s="1"/>
  <c r="V7" i="8"/>
  <c r="V9" i="8"/>
  <c r="T63" i="1" s="1"/>
  <c r="V63" i="1" s="1"/>
  <c r="W63" i="1" s="1"/>
  <c r="V8" i="8"/>
  <c r="V21" i="8"/>
  <c r="V22" i="8"/>
  <c r="T30" i="1" s="1"/>
  <c r="V19" i="8"/>
  <c r="T39" i="1" l="1"/>
  <c r="T38" i="1"/>
  <c r="T47" i="1"/>
  <c r="T26" i="1"/>
  <c r="V26" i="1" s="1"/>
  <c r="W26" i="1" s="1"/>
  <c r="T45" i="1"/>
  <c r="T44" i="1"/>
  <c r="T27" i="1"/>
  <c r="T25" i="1"/>
  <c r="T42" i="1"/>
  <c r="T43" i="1"/>
  <c r="T41" i="1"/>
  <c r="T40" i="1"/>
  <c r="T64" i="1"/>
  <c r="T62" i="1"/>
  <c r="T37" i="1"/>
  <c r="T36" i="1"/>
  <c r="T35" i="1"/>
  <c r="T34" i="1"/>
  <c r="T46" i="1"/>
  <c r="T28" i="1"/>
  <c r="T65" i="1"/>
  <c r="T61" i="1"/>
  <c r="T60" i="1"/>
  <c r="T59" i="1"/>
  <c r="T22" i="1"/>
  <c r="V22" i="1" s="1"/>
  <c r="W22" i="1" s="1"/>
  <c r="T21" i="1"/>
  <c r="V21" i="1" s="1"/>
  <c r="W21" i="1" s="1"/>
  <c r="F9" i="1" l="1"/>
  <c r="F8" i="1"/>
  <c r="U73" i="1" l="1"/>
  <c r="T73" i="1"/>
  <c r="V73" i="1" s="1"/>
  <c r="W73" i="1" s="1"/>
  <c r="N73" i="1"/>
  <c r="P73" i="1"/>
  <c r="H73" i="1"/>
  <c r="AP73" i="1" s="1"/>
  <c r="K73" i="1"/>
  <c r="BT73" i="1" l="1"/>
  <c r="CK73" i="1"/>
  <c r="BU73" i="1"/>
  <c r="AO73" i="1"/>
  <c r="CJ73" i="1"/>
  <c r="BS73" i="1"/>
  <c r="BD73" i="1"/>
  <c r="BC73" i="1"/>
  <c r="AN73" i="1"/>
  <c r="BE73" i="1"/>
  <c r="CF73" i="1"/>
  <c r="CR73" i="1"/>
  <c r="BR73" i="1"/>
  <c r="BQ73" i="1"/>
  <c r="AI73" i="1"/>
  <c r="AG73" i="1"/>
  <c r="BJ73" i="1"/>
  <c r="CG73" i="1"/>
  <c r="AZ73" i="1"/>
  <c r="BO73" i="1"/>
  <c r="BN73" i="1"/>
  <c r="CS73" i="1"/>
  <c r="BL73" i="1"/>
  <c r="CA73" i="1"/>
  <c r="AC73" i="1"/>
  <c r="CH73" i="1"/>
  <c r="BB73" i="1"/>
  <c r="BA73" i="1"/>
  <c r="AJ73" i="1"/>
  <c r="CE73" i="1"/>
  <c r="CD73" i="1"/>
  <c r="AW73" i="1"/>
  <c r="CB73" i="1"/>
  <c r="AE73" i="1"/>
  <c r="BZ73" i="1"/>
  <c r="BY73" i="1"/>
  <c r="AM73" i="1"/>
  <c r="AK73" i="1"/>
  <c r="AY73" i="1"/>
  <c r="AX73" i="1"/>
  <c r="BM73" i="1"/>
  <c r="AV73" i="1"/>
  <c r="CQ73" i="1"/>
  <c r="BK73" i="1"/>
  <c r="AD73" i="1"/>
  <c r="BI73" i="1"/>
  <c r="BH73" i="1"/>
  <c r="AQ73" i="1"/>
  <c r="CI73" i="1"/>
  <c r="AL73" i="1"/>
  <c r="BP73" i="1"/>
  <c r="CT73" i="1"/>
  <c r="AH73" i="1"/>
  <c r="CC73" i="1"/>
  <c r="AF73" i="1"/>
  <c r="AU73" i="1"/>
  <c r="CP73" i="1"/>
  <c r="AT73" i="1"/>
  <c r="CO73" i="1"/>
  <c r="AS73" i="1"/>
  <c r="CN73" i="1"/>
  <c r="BX73" i="1"/>
  <c r="AR73" i="1"/>
  <c r="CM73" i="1"/>
  <c r="BW73" i="1"/>
  <c r="BG73" i="1"/>
  <c r="CL73" i="1"/>
  <c r="BV73" i="1"/>
  <c r="BF73" i="1"/>
  <c r="M74" i="1"/>
  <c r="L74" i="1"/>
  <c r="O73" i="1" l="1"/>
  <c r="Q73" i="1" s="1"/>
  <c r="B93" i="1" s="1"/>
  <c r="N74" i="1"/>
  <c r="N72" i="1"/>
  <c r="N49" i="1"/>
  <c r="N48" i="1"/>
  <c r="N19" i="1"/>
  <c r="N18" i="1"/>
  <c r="P15" i="2" l="1"/>
  <c r="O15" i="2"/>
  <c r="J15" i="2"/>
  <c r="I15" i="2"/>
  <c r="Q15" i="2"/>
  <c r="N15" i="2"/>
  <c r="M15" i="2"/>
  <c r="L15" i="2"/>
  <c r="K15" i="2"/>
  <c r="H15" i="2"/>
  <c r="G15" i="2"/>
  <c r="F15" i="2"/>
  <c r="E15" i="2"/>
  <c r="D15" i="2"/>
  <c r="C15" i="2"/>
  <c r="J64" i="1" l="1"/>
  <c r="J65" i="1"/>
  <c r="E62" i="1"/>
  <c r="N33" i="1"/>
  <c r="N32" i="1"/>
  <c r="L31" i="1"/>
  <c r="N31" i="1" s="1"/>
  <c r="L30" i="1" l="1"/>
  <c r="N30" i="1" s="1"/>
  <c r="S72" i="1"/>
  <c r="D72" i="1"/>
  <c r="S19" i="1"/>
  <c r="U38" i="1" l="1"/>
  <c r="U42" i="1"/>
  <c r="U39" i="1"/>
  <c r="U35" i="1"/>
  <c r="U34" i="1"/>
  <c r="U29" i="1"/>
  <c r="V28" i="1"/>
  <c r="W28" i="1" s="1"/>
  <c r="V27" i="1"/>
  <c r="W27" i="1" s="1"/>
  <c r="V25" i="1"/>
  <c r="W25" i="1" s="1"/>
  <c r="V24" i="1"/>
  <c r="W24" i="1" s="1"/>
  <c r="V23" i="1"/>
  <c r="W23" i="1" s="1"/>
  <c r="U30" i="1"/>
  <c r="V65" i="1"/>
  <c r="W65" i="1" s="1"/>
  <c r="V64" i="1"/>
  <c r="W64" i="1" s="1"/>
  <c r="V61" i="1"/>
  <c r="W61" i="1" s="1"/>
  <c r="V60" i="1"/>
  <c r="W60" i="1" s="1"/>
  <c r="T29" i="1"/>
  <c r="V29" i="1" l="1"/>
  <c r="W29" i="1" s="1"/>
  <c r="H74" i="1"/>
  <c r="R73" i="1"/>
  <c r="C93" i="1" s="1"/>
  <c r="CF74" i="1" l="1"/>
  <c r="H72" i="1"/>
  <c r="CO72" i="1" s="1"/>
  <c r="CQ67" i="1"/>
  <c r="H65" i="1"/>
  <c r="CK65" i="1" s="1"/>
  <c r="H64" i="1"/>
  <c r="CK64" i="1" s="1"/>
  <c r="H62" i="1"/>
  <c r="CP62" i="1" s="1"/>
  <c r="CQ74" i="1"/>
  <c r="CP74" i="1"/>
  <c r="CR67" i="1"/>
  <c r="CH65" i="1" l="1"/>
  <c r="CI65" i="1"/>
  <c r="CC72" i="1"/>
  <c r="CL72" i="1"/>
  <c r="CM72" i="1"/>
  <c r="CG74" i="1"/>
  <c r="CH74" i="1"/>
  <c r="CA74" i="1"/>
  <c r="CI74" i="1"/>
  <c r="CJ74" i="1"/>
  <c r="CS72" i="1"/>
  <c r="CK74" i="1"/>
  <c r="CL74" i="1"/>
  <c r="CM74" i="1"/>
  <c r="CI64" i="1"/>
  <c r="CO74" i="1"/>
  <c r="CG65" i="1"/>
  <c r="CA67" i="1"/>
  <c r="CH67" i="1"/>
  <c r="CI67" i="1"/>
  <c r="CO67" i="1"/>
  <c r="CP67" i="1"/>
  <c r="CO62" i="1"/>
  <c r="CK62" i="1"/>
  <c r="CC62" i="1"/>
  <c r="CS62" i="1"/>
  <c r="CM62" i="1"/>
  <c r="CL62" i="1"/>
  <c r="CR65" i="1"/>
  <c r="CM65" i="1"/>
  <c r="CL65" i="1"/>
  <c r="CD65" i="1"/>
  <c r="CC65" i="1"/>
  <c r="CT65" i="1"/>
  <c r="CS65" i="1"/>
  <c r="CN67" i="1"/>
  <c r="CT67" i="1"/>
  <c r="CS67" i="1"/>
  <c r="CG67" i="1"/>
  <c r="CD67" i="1"/>
  <c r="CE67" i="1"/>
  <c r="CC67" i="1"/>
  <c r="CB67" i="1"/>
  <c r="CE65" i="1"/>
  <c r="CF65" i="1"/>
  <c r="CK72" i="1"/>
  <c r="CH64" i="1"/>
  <c r="CP72" i="1"/>
  <c r="CG64" i="1"/>
  <c r="CL64" i="1"/>
  <c r="CA62" i="1"/>
  <c r="CQ62" i="1"/>
  <c r="CM64" i="1"/>
  <c r="CA72" i="1"/>
  <c r="CQ72" i="1"/>
  <c r="CB62" i="1"/>
  <c r="CR62" i="1"/>
  <c r="CN64" i="1"/>
  <c r="CJ65" i="1"/>
  <c r="CF67" i="1"/>
  <c r="CB72" i="1"/>
  <c r="CR72" i="1"/>
  <c r="CN74" i="1"/>
  <c r="CB64" i="1"/>
  <c r="CE72" i="1"/>
  <c r="CG62" i="1"/>
  <c r="CC64" i="1"/>
  <c r="CS64" i="1"/>
  <c r="CO65" i="1"/>
  <c r="CK67" i="1"/>
  <c r="CG72" i="1"/>
  <c r="CC74" i="1"/>
  <c r="CS74" i="1"/>
  <c r="CO64" i="1"/>
  <c r="CT62" i="1"/>
  <c r="CP64" i="1"/>
  <c r="CD72" i="1"/>
  <c r="CT72" i="1"/>
  <c r="CR64" i="1"/>
  <c r="CJ67" i="1"/>
  <c r="CF72" i="1"/>
  <c r="CR74" i="1"/>
  <c r="CT64" i="1"/>
  <c r="CL67" i="1"/>
  <c r="CD74" i="1"/>
  <c r="CI62" i="1"/>
  <c r="CE64" i="1"/>
  <c r="CA65" i="1"/>
  <c r="CQ65" i="1"/>
  <c r="CM67" i="1"/>
  <c r="CI72" i="1"/>
  <c r="CE74" i="1"/>
  <c r="CD62" i="1"/>
  <c r="CE62" i="1"/>
  <c r="CA64" i="1"/>
  <c r="CQ64" i="1"/>
  <c r="CF62" i="1"/>
  <c r="CN65" i="1"/>
  <c r="CB74" i="1"/>
  <c r="CH62" i="1"/>
  <c r="CD64" i="1"/>
  <c r="CP65" i="1"/>
  <c r="CH72" i="1"/>
  <c r="CT74" i="1"/>
  <c r="CJ62" i="1"/>
  <c r="CF64" i="1"/>
  <c r="CB65" i="1"/>
  <c r="CJ72" i="1"/>
  <c r="CN62" i="1"/>
  <c r="CJ64" i="1"/>
  <c r="CN72" i="1"/>
  <c r="E19" i="1"/>
  <c r="BZ74" i="1"/>
  <c r="BY74" i="1"/>
  <c r="BX74" i="1"/>
  <c r="BW74" i="1"/>
  <c r="BV74" i="1"/>
  <c r="BU74" i="1"/>
  <c r="BT74" i="1"/>
  <c r="BS74" i="1"/>
  <c r="BR74" i="1"/>
  <c r="BQ74" i="1"/>
  <c r="BZ72" i="1"/>
  <c r="BY72" i="1"/>
  <c r="BX72" i="1"/>
  <c r="BW72" i="1"/>
  <c r="BV72" i="1"/>
  <c r="BU72" i="1"/>
  <c r="BT72" i="1"/>
  <c r="BS72" i="1"/>
  <c r="BR72" i="1"/>
  <c r="BQ72" i="1"/>
  <c r="BZ67" i="1"/>
  <c r="BY67" i="1"/>
  <c r="BX67" i="1"/>
  <c r="BW67" i="1"/>
  <c r="BV67" i="1"/>
  <c r="BU67" i="1"/>
  <c r="BT67" i="1"/>
  <c r="BS67" i="1"/>
  <c r="BR67" i="1"/>
  <c r="BQ67" i="1"/>
  <c r="BZ65" i="1"/>
  <c r="BY65" i="1"/>
  <c r="BX65" i="1"/>
  <c r="BW65" i="1"/>
  <c r="BV65" i="1"/>
  <c r="BU65" i="1"/>
  <c r="BT65" i="1"/>
  <c r="BS65" i="1"/>
  <c r="BR65" i="1"/>
  <c r="BQ65" i="1"/>
  <c r="BZ64" i="1"/>
  <c r="BY64" i="1"/>
  <c r="BX64" i="1"/>
  <c r="BW64" i="1"/>
  <c r="BV64" i="1"/>
  <c r="BU64" i="1"/>
  <c r="BT64" i="1"/>
  <c r="BS64" i="1"/>
  <c r="BR64" i="1"/>
  <c r="BQ64" i="1"/>
  <c r="V72" i="1"/>
  <c r="W72" i="1" s="1"/>
  <c r="T49" i="1"/>
  <c r="V49" i="1" s="1"/>
  <c r="W49" i="1" s="1"/>
  <c r="V44" i="1"/>
  <c r="W44" i="1" s="1"/>
  <c r="V34" i="1"/>
  <c r="W34" i="1" s="1"/>
  <c r="T33" i="1"/>
  <c r="V33" i="1" s="1"/>
  <c r="W33" i="1" s="1"/>
  <c r="T32" i="1"/>
  <c r="V32" i="1" s="1"/>
  <c r="W32" i="1" s="1"/>
  <c r="T31" i="1"/>
  <c r="V31" i="1" s="1"/>
  <c r="W31" i="1" s="1"/>
  <c r="V30" i="1"/>
  <c r="W30" i="1" s="1"/>
  <c r="T48" i="1"/>
  <c r="V48" i="1" s="1"/>
  <c r="W48" i="1" s="1"/>
  <c r="V37" i="1"/>
  <c r="W37" i="1" s="1"/>
  <c r="V40" i="1"/>
  <c r="W40" i="1" s="1"/>
  <c r="V62" i="1"/>
  <c r="W62" i="1" s="1"/>
  <c r="T19" i="1"/>
  <c r="V19" i="1" s="1"/>
  <c r="W19" i="1" s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K74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K72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N67" i="1"/>
  <c r="K67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N65" i="1"/>
  <c r="K65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N64" i="1"/>
  <c r="K64" i="1"/>
  <c r="AC65" i="1"/>
  <c r="AC64" i="1"/>
  <c r="N47" i="1"/>
  <c r="N58" i="1"/>
  <c r="L57" i="1"/>
  <c r="N57" i="1" s="1"/>
  <c r="N56" i="1"/>
  <c r="N55" i="1"/>
  <c r="N54" i="1"/>
  <c r="N53" i="1"/>
  <c r="N51" i="1"/>
  <c r="N52" i="1"/>
  <c r="L50" i="1"/>
  <c r="N50" i="1" s="1"/>
  <c r="BK62" i="1"/>
  <c r="H61" i="1"/>
  <c r="H60" i="1"/>
  <c r="BY60" i="1" s="1"/>
  <c r="H59" i="1"/>
  <c r="BS59" i="1" s="1"/>
  <c r="H58" i="1"/>
  <c r="H57" i="1"/>
  <c r="H56" i="1"/>
  <c r="BW56" i="1" s="1"/>
  <c r="H55" i="1"/>
  <c r="H54" i="1"/>
  <c r="H53" i="1"/>
  <c r="H52" i="1"/>
  <c r="BQ52" i="1" s="1"/>
  <c r="H51" i="1"/>
  <c r="BZ51" i="1" s="1"/>
  <c r="H50" i="1"/>
  <c r="H49" i="1"/>
  <c r="H48" i="1"/>
  <c r="BY48" i="1" s="1"/>
  <c r="H47" i="1"/>
  <c r="H46" i="1"/>
  <c r="H45" i="1"/>
  <c r="BY45" i="1" s="1"/>
  <c r="H44" i="1"/>
  <c r="BS44" i="1" s="1"/>
  <c r="H43" i="1"/>
  <c r="H42" i="1"/>
  <c r="H41" i="1"/>
  <c r="BY41" i="1" s="1"/>
  <c r="H40" i="1"/>
  <c r="BY40" i="1" s="1"/>
  <c r="H39" i="1"/>
  <c r="H38" i="1"/>
  <c r="H37" i="1"/>
  <c r="BY37" i="1" s="1"/>
  <c r="H36" i="1"/>
  <c r="BR36" i="1" s="1"/>
  <c r="H35" i="1"/>
  <c r="H34" i="1"/>
  <c r="BV34" i="1" s="1"/>
  <c r="H33" i="1"/>
  <c r="BY33" i="1" s="1"/>
  <c r="H32" i="1"/>
  <c r="H31" i="1"/>
  <c r="H30" i="1"/>
  <c r="H29" i="1"/>
  <c r="BY29" i="1" s="1"/>
  <c r="H28" i="1"/>
  <c r="BS28" i="1" s="1"/>
  <c r="H27" i="1"/>
  <c r="BS27" i="1" s="1"/>
  <c r="H26" i="1"/>
  <c r="BW26" i="1" s="1"/>
  <c r="H25" i="1"/>
  <c r="BQ25" i="1" s="1"/>
  <c r="H24" i="1"/>
  <c r="BZ24" i="1" s="1"/>
  <c r="H23" i="1"/>
  <c r="BS23" i="1" s="1"/>
  <c r="H22" i="1"/>
  <c r="H21" i="1"/>
  <c r="BY21" i="1" s="1"/>
  <c r="H20" i="1"/>
  <c r="BZ20" i="1" s="1"/>
  <c r="H19" i="1"/>
  <c r="H18" i="1"/>
  <c r="BR18" i="1" s="1"/>
  <c r="BX25" i="1" l="1"/>
  <c r="BY25" i="1"/>
  <c r="BW25" i="1"/>
  <c r="BS36" i="1"/>
  <c r="BY36" i="1"/>
  <c r="BQ51" i="1"/>
  <c r="BR51" i="1"/>
  <c r="BT52" i="1"/>
  <c r="BW52" i="1"/>
  <c r="BX52" i="1"/>
  <c r="BX56" i="1"/>
  <c r="BY56" i="1"/>
  <c r="BQ59" i="1"/>
  <c r="BQ20" i="1"/>
  <c r="BR59" i="1"/>
  <c r="BR20" i="1"/>
  <c r="BS20" i="1"/>
  <c r="BJ18" i="1"/>
  <c r="CE18" i="1"/>
  <c r="CT18" i="1"/>
  <c r="CD18" i="1"/>
  <c r="CS18" i="1"/>
  <c r="CC18" i="1"/>
  <c r="CR18" i="1"/>
  <c r="CB18" i="1"/>
  <c r="CL18" i="1"/>
  <c r="CI18" i="1"/>
  <c r="CH18" i="1"/>
  <c r="CF18" i="1"/>
  <c r="CQ18" i="1"/>
  <c r="CA18" i="1"/>
  <c r="CP18" i="1"/>
  <c r="CM18" i="1"/>
  <c r="CG18" i="1"/>
  <c r="CO18" i="1"/>
  <c r="CN18" i="1"/>
  <c r="CK18" i="1"/>
  <c r="CJ18" i="1"/>
  <c r="BU18" i="1"/>
  <c r="P65" i="1"/>
  <c r="P48" i="1"/>
  <c r="P32" i="1"/>
  <c r="P47" i="1"/>
  <c r="P31" i="1"/>
  <c r="P62" i="1"/>
  <c r="P46" i="1"/>
  <c r="P30" i="1"/>
  <c r="P61" i="1"/>
  <c r="P45" i="1"/>
  <c r="P29" i="1"/>
  <c r="P42" i="1"/>
  <c r="P26" i="1"/>
  <c r="P41" i="1"/>
  <c r="P25" i="1"/>
  <c r="P22" i="1"/>
  <c r="P37" i="1"/>
  <c r="P20" i="1"/>
  <c r="P74" i="1"/>
  <c r="P19" i="1"/>
  <c r="P50" i="1"/>
  <c r="P18" i="1"/>
  <c r="P49" i="1"/>
  <c r="P60" i="1"/>
  <c r="P44" i="1"/>
  <c r="P28" i="1"/>
  <c r="P59" i="1"/>
  <c r="P43" i="1"/>
  <c r="P27" i="1"/>
  <c r="P58" i="1"/>
  <c r="P57" i="1"/>
  <c r="P53" i="1"/>
  <c r="P36" i="1"/>
  <c r="P51" i="1"/>
  <c r="P72" i="1"/>
  <c r="P33" i="1"/>
  <c r="P56" i="1"/>
  <c r="P40" i="1"/>
  <c r="P24" i="1"/>
  <c r="P55" i="1"/>
  <c r="P39" i="1"/>
  <c r="P23" i="1"/>
  <c r="P54" i="1"/>
  <c r="P38" i="1"/>
  <c r="P21" i="1"/>
  <c r="P52" i="1"/>
  <c r="P35" i="1"/>
  <c r="P34" i="1"/>
  <c r="P67" i="1"/>
  <c r="BV18" i="1"/>
  <c r="BW18" i="1"/>
  <c r="BZ36" i="1"/>
  <c r="BY52" i="1"/>
  <c r="BQ37" i="1"/>
  <c r="BX37" i="1"/>
  <c r="BR40" i="1"/>
  <c r="BT21" i="1"/>
  <c r="BW21" i="1"/>
  <c r="BT60" i="1"/>
  <c r="BQ41" i="1"/>
  <c r="BR44" i="1"/>
  <c r="BX45" i="1"/>
  <c r="BZ28" i="1"/>
  <c r="BQ29" i="1"/>
  <c r="BT29" i="1"/>
  <c r="BG42" i="1"/>
  <c r="CF42" i="1"/>
  <c r="CE42" i="1"/>
  <c r="CN42" i="1"/>
  <c r="CL42" i="1"/>
  <c r="CM42" i="1"/>
  <c r="CK42" i="1"/>
  <c r="CH42" i="1"/>
  <c r="CT42" i="1"/>
  <c r="CS42" i="1"/>
  <c r="CP42" i="1"/>
  <c r="CQ42" i="1"/>
  <c r="CO42" i="1"/>
  <c r="CJ42" i="1"/>
  <c r="CB42" i="1"/>
  <c r="CA42" i="1"/>
  <c r="CI42" i="1"/>
  <c r="CG42" i="1"/>
  <c r="CD42" i="1"/>
  <c r="CC42" i="1"/>
  <c r="CR42" i="1"/>
  <c r="BO58" i="1"/>
  <c r="CN58" i="1"/>
  <c r="CM58" i="1"/>
  <c r="CF58" i="1"/>
  <c r="CD58" i="1"/>
  <c r="CE58" i="1"/>
  <c r="CT58" i="1"/>
  <c r="CS58" i="1"/>
  <c r="CC58" i="1"/>
  <c r="CP58" i="1"/>
  <c r="CO58" i="1"/>
  <c r="CB58" i="1"/>
  <c r="CA58" i="1"/>
  <c r="CR58" i="1"/>
  <c r="CJ58" i="1"/>
  <c r="CH58" i="1"/>
  <c r="CQ58" i="1"/>
  <c r="CL58" i="1"/>
  <c r="CK58" i="1"/>
  <c r="CI58" i="1"/>
  <c r="CG58" i="1"/>
  <c r="BR34" i="1"/>
  <c r="BG44" i="1"/>
  <c r="CN44" i="1"/>
  <c r="CM44" i="1"/>
  <c r="CF44" i="1"/>
  <c r="CD44" i="1"/>
  <c r="CE44" i="1"/>
  <c r="CT44" i="1"/>
  <c r="CS44" i="1"/>
  <c r="CC44" i="1"/>
  <c r="CP44" i="1"/>
  <c r="CK44" i="1"/>
  <c r="CJ44" i="1"/>
  <c r="CI44" i="1"/>
  <c r="CH44" i="1"/>
  <c r="CB44" i="1"/>
  <c r="CG44" i="1"/>
  <c r="CA44" i="1"/>
  <c r="CR44" i="1"/>
  <c r="CQ44" i="1"/>
  <c r="CO44" i="1"/>
  <c r="CL44" i="1"/>
  <c r="BU34" i="1"/>
  <c r="BK45" i="1"/>
  <c r="CJ45" i="1"/>
  <c r="CI45" i="1"/>
  <c r="CR45" i="1"/>
  <c r="CB45" i="1"/>
  <c r="CP45" i="1"/>
  <c r="CQ45" i="1"/>
  <c r="CA45" i="1"/>
  <c r="CO45" i="1"/>
  <c r="CL45" i="1"/>
  <c r="CT45" i="1"/>
  <c r="CS45" i="1"/>
  <c r="CM45" i="1"/>
  <c r="CH45" i="1"/>
  <c r="CG45" i="1"/>
  <c r="CF45" i="1"/>
  <c r="CD45" i="1"/>
  <c r="CE45" i="1"/>
  <c r="CC45" i="1"/>
  <c r="CN45" i="1"/>
  <c r="CK45" i="1"/>
  <c r="BS58" i="1"/>
  <c r="BO47" i="1"/>
  <c r="CR47" i="1"/>
  <c r="CB47" i="1"/>
  <c r="CQ47" i="1"/>
  <c r="CA47" i="1"/>
  <c r="CJ47" i="1"/>
  <c r="CI47" i="1"/>
  <c r="CH47" i="1"/>
  <c r="CG47" i="1"/>
  <c r="CT47" i="1"/>
  <c r="CD47" i="1"/>
  <c r="CK47" i="1"/>
  <c r="CF47" i="1"/>
  <c r="CE47" i="1"/>
  <c r="CC47" i="1"/>
  <c r="CO47" i="1"/>
  <c r="CM47" i="1"/>
  <c r="CS47" i="1"/>
  <c r="CN47" i="1"/>
  <c r="CP47" i="1"/>
  <c r="CL47" i="1"/>
  <c r="BY24" i="1"/>
  <c r="BQ36" i="1"/>
  <c r="BX41" i="1"/>
  <c r="BT45" i="1"/>
  <c r="BU58" i="1"/>
  <c r="AQ33" i="1"/>
  <c r="CJ33" i="1"/>
  <c r="CR33" i="1"/>
  <c r="CB33" i="1"/>
  <c r="CQ33" i="1"/>
  <c r="CA33" i="1"/>
  <c r="CO33" i="1"/>
  <c r="CL33" i="1"/>
  <c r="CT33" i="1"/>
  <c r="CS33" i="1"/>
  <c r="CP33" i="1"/>
  <c r="CM33" i="1"/>
  <c r="CN33" i="1"/>
  <c r="CK33" i="1"/>
  <c r="CI33" i="1"/>
  <c r="CH33" i="1"/>
  <c r="CF33" i="1"/>
  <c r="CG33" i="1"/>
  <c r="CE33" i="1"/>
  <c r="CD33" i="1"/>
  <c r="CC33" i="1"/>
  <c r="BQ57" i="1"/>
  <c r="CR57" i="1"/>
  <c r="CB57" i="1"/>
  <c r="CQ57" i="1"/>
  <c r="CA57" i="1"/>
  <c r="CJ57" i="1"/>
  <c r="CI57" i="1"/>
  <c r="CH57" i="1"/>
  <c r="CG57" i="1"/>
  <c r="CT57" i="1"/>
  <c r="CD57" i="1"/>
  <c r="CS57" i="1"/>
  <c r="CC57" i="1"/>
  <c r="CP57" i="1"/>
  <c r="CM57" i="1"/>
  <c r="CN57" i="1"/>
  <c r="CL57" i="1"/>
  <c r="CK57" i="1"/>
  <c r="CF57" i="1"/>
  <c r="CE57" i="1"/>
  <c r="CO57" i="1"/>
  <c r="BT27" i="1"/>
  <c r="BL43" i="1"/>
  <c r="CR43" i="1"/>
  <c r="CB43" i="1"/>
  <c r="CQ43" i="1"/>
  <c r="CA43" i="1"/>
  <c r="CJ43" i="1"/>
  <c r="CH43" i="1"/>
  <c r="CI43" i="1"/>
  <c r="CG43" i="1"/>
  <c r="CT43" i="1"/>
  <c r="CD43" i="1"/>
  <c r="CC43" i="1"/>
  <c r="CS43" i="1"/>
  <c r="CP43" i="1"/>
  <c r="CO43" i="1"/>
  <c r="CN43" i="1"/>
  <c r="CF43" i="1"/>
  <c r="CM43" i="1"/>
  <c r="CL43" i="1"/>
  <c r="CK43" i="1"/>
  <c r="CE43" i="1"/>
  <c r="BV57" i="1"/>
  <c r="BJ28" i="1"/>
  <c r="CN28" i="1"/>
  <c r="CF28" i="1"/>
  <c r="CE28" i="1"/>
  <c r="CS28" i="1"/>
  <c r="CC28" i="1"/>
  <c r="CP28" i="1"/>
  <c r="CD28" i="1"/>
  <c r="CB28" i="1"/>
  <c r="CA28" i="1"/>
  <c r="CT28" i="1"/>
  <c r="CR28" i="1"/>
  <c r="CQ28" i="1"/>
  <c r="CO28" i="1"/>
  <c r="CL28" i="1"/>
  <c r="CH28" i="1"/>
  <c r="CM28" i="1"/>
  <c r="CJ28" i="1"/>
  <c r="CK28" i="1"/>
  <c r="CI28" i="1"/>
  <c r="CG28" i="1"/>
  <c r="AV60" i="1"/>
  <c r="CF60" i="1"/>
  <c r="CE60" i="1"/>
  <c r="CN60" i="1"/>
  <c r="CM60" i="1"/>
  <c r="CL60" i="1"/>
  <c r="CK60" i="1"/>
  <c r="CJ60" i="1"/>
  <c r="CH60" i="1"/>
  <c r="CG60" i="1"/>
  <c r="CS60" i="1"/>
  <c r="CT60" i="1"/>
  <c r="CR60" i="1"/>
  <c r="CQ60" i="1"/>
  <c r="CP60" i="1"/>
  <c r="CO60" i="1"/>
  <c r="CI60" i="1"/>
  <c r="CA60" i="1"/>
  <c r="CD60" i="1"/>
  <c r="CC60" i="1"/>
  <c r="CB60" i="1"/>
  <c r="AU31" i="1"/>
  <c r="CR31" i="1"/>
  <c r="CB31" i="1"/>
  <c r="CJ31" i="1"/>
  <c r="CI31" i="1"/>
  <c r="CG31" i="1"/>
  <c r="CT31" i="1"/>
  <c r="CD31" i="1"/>
  <c r="CN31" i="1"/>
  <c r="CM31" i="1"/>
  <c r="CL31" i="1"/>
  <c r="CK31" i="1"/>
  <c r="CF31" i="1"/>
  <c r="CH31" i="1"/>
  <c r="CE31" i="1"/>
  <c r="CC31" i="1"/>
  <c r="CA31" i="1"/>
  <c r="CP31" i="1"/>
  <c r="CS31" i="1"/>
  <c r="CQ31" i="1"/>
  <c r="CO31" i="1"/>
  <c r="BG32" i="1"/>
  <c r="CN32" i="1"/>
  <c r="CF32" i="1"/>
  <c r="CE32" i="1"/>
  <c r="CS32" i="1"/>
  <c r="CC32" i="1"/>
  <c r="CP32" i="1"/>
  <c r="CQ32" i="1"/>
  <c r="CO32" i="1"/>
  <c r="CM32" i="1"/>
  <c r="CK32" i="1"/>
  <c r="CI32" i="1"/>
  <c r="CH32" i="1"/>
  <c r="CG32" i="1"/>
  <c r="CD32" i="1"/>
  <c r="CB32" i="1"/>
  <c r="CT32" i="1"/>
  <c r="CA32" i="1"/>
  <c r="CR32" i="1"/>
  <c r="CL32" i="1"/>
  <c r="CJ32" i="1"/>
  <c r="BY28" i="1"/>
  <c r="BW45" i="1"/>
  <c r="BX58" i="1"/>
  <c r="BR42" i="1"/>
  <c r="BU42" i="1"/>
  <c r="AN49" i="1"/>
  <c r="CJ49" i="1"/>
  <c r="CI49" i="1"/>
  <c r="CR49" i="1"/>
  <c r="CB49" i="1"/>
  <c r="CP49" i="1"/>
  <c r="CQ49" i="1"/>
  <c r="CA49" i="1"/>
  <c r="CO49" i="1"/>
  <c r="CL49" i="1"/>
  <c r="CS49" i="1"/>
  <c r="CT49" i="1"/>
  <c r="CN49" i="1"/>
  <c r="CM49" i="1"/>
  <c r="CE49" i="1"/>
  <c r="CK49" i="1"/>
  <c r="CH49" i="1"/>
  <c r="CG49" i="1"/>
  <c r="CC49" i="1"/>
  <c r="CF49" i="1"/>
  <c r="CD49" i="1"/>
  <c r="BB19" i="1"/>
  <c r="CR19" i="1"/>
  <c r="CB19" i="1"/>
  <c r="CJ19" i="1"/>
  <c r="CI19" i="1"/>
  <c r="CG19" i="1"/>
  <c r="CT19" i="1"/>
  <c r="CD19" i="1"/>
  <c r="CS19" i="1"/>
  <c r="CQ19" i="1"/>
  <c r="CP19" i="1"/>
  <c r="CO19" i="1"/>
  <c r="CM19" i="1"/>
  <c r="CL19" i="1"/>
  <c r="CC19" i="1"/>
  <c r="CK19" i="1"/>
  <c r="CA19" i="1"/>
  <c r="CH19" i="1"/>
  <c r="CF19" i="1"/>
  <c r="CE19" i="1"/>
  <c r="CN19" i="1"/>
  <c r="BK50" i="1"/>
  <c r="CF50" i="1"/>
  <c r="CE50" i="1"/>
  <c r="CN50" i="1"/>
  <c r="CM50" i="1"/>
  <c r="CL50" i="1"/>
  <c r="CK50" i="1"/>
  <c r="CH50" i="1"/>
  <c r="CD50" i="1"/>
  <c r="CC50" i="1"/>
  <c r="CB50" i="1"/>
  <c r="CA50" i="1"/>
  <c r="CT50" i="1"/>
  <c r="CS50" i="1"/>
  <c r="CJ50" i="1"/>
  <c r="CI50" i="1"/>
  <c r="CR50" i="1"/>
  <c r="CQ50" i="1"/>
  <c r="CP50" i="1"/>
  <c r="CO50" i="1"/>
  <c r="CG50" i="1"/>
  <c r="BV42" i="1"/>
  <c r="BQ48" i="1"/>
  <c r="BK36" i="1"/>
  <c r="CN36" i="1"/>
  <c r="CF36" i="1"/>
  <c r="CT36" i="1"/>
  <c r="CE36" i="1"/>
  <c r="CS36" i="1"/>
  <c r="CC36" i="1"/>
  <c r="CP36" i="1"/>
  <c r="CH36" i="1"/>
  <c r="CG36" i="1"/>
  <c r="CD36" i="1"/>
  <c r="CB36" i="1"/>
  <c r="CA36" i="1"/>
  <c r="CL36" i="1"/>
  <c r="CJ36" i="1"/>
  <c r="CR36" i="1"/>
  <c r="CO36" i="1"/>
  <c r="CK36" i="1"/>
  <c r="CQ36" i="1"/>
  <c r="CM36" i="1"/>
  <c r="CI36" i="1"/>
  <c r="BY20" i="1"/>
  <c r="BY59" i="1"/>
  <c r="BC21" i="1"/>
  <c r="CJ21" i="1"/>
  <c r="CR21" i="1"/>
  <c r="CB21" i="1"/>
  <c r="CQ21" i="1"/>
  <c r="CA21" i="1"/>
  <c r="CO21" i="1"/>
  <c r="CL21" i="1"/>
  <c r="CE21" i="1"/>
  <c r="CD21" i="1"/>
  <c r="CT21" i="1"/>
  <c r="CS21" i="1"/>
  <c r="CH21" i="1"/>
  <c r="CP21" i="1"/>
  <c r="CG21" i="1"/>
  <c r="CN21" i="1"/>
  <c r="CM21" i="1"/>
  <c r="CK21" i="1"/>
  <c r="CI21" i="1"/>
  <c r="CF21" i="1"/>
  <c r="CC21" i="1"/>
  <c r="BB37" i="1"/>
  <c r="CJ37" i="1"/>
  <c r="CR37" i="1"/>
  <c r="CB37" i="1"/>
  <c r="CQ37" i="1"/>
  <c r="CA37" i="1"/>
  <c r="CP37" i="1"/>
  <c r="CO37" i="1"/>
  <c r="CL37" i="1"/>
  <c r="CK37" i="1"/>
  <c r="CI37" i="1"/>
  <c r="CH37" i="1"/>
  <c r="CE37" i="1"/>
  <c r="CF37" i="1"/>
  <c r="CD37" i="1"/>
  <c r="CC37" i="1"/>
  <c r="CN37" i="1"/>
  <c r="CT37" i="1"/>
  <c r="CS37" i="1"/>
  <c r="CM37" i="1"/>
  <c r="CG37" i="1"/>
  <c r="AY52" i="1"/>
  <c r="CN52" i="1"/>
  <c r="CM52" i="1"/>
  <c r="CF52" i="1"/>
  <c r="CD52" i="1"/>
  <c r="CE52" i="1"/>
  <c r="CT52" i="1"/>
  <c r="CS52" i="1"/>
  <c r="CC52" i="1"/>
  <c r="CP52" i="1"/>
  <c r="CR52" i="1"/>
  <c r="CL52" i="1"/>
  <c r="CO52" i="1"/>
  <c r="CK52" i="1"/>
  <c r="CJ52" i="1"/>
  <c r="CI52" i="1"/>
  <c r="CH52" i="1"/>
  <c r="CG52" i="1"/>
  <c r="CA52" i="1"/>
  <c r="CB52" i="1"/>
  <c r="CQ52" i="1"/>
  <c r="BR26" i="1"/>
  <c r="BX29" i="1"/>
  <c r="BT37" i="1"/>
  <c r="BS43" i="1"/>
  <c r="BX48" i="1"/>
  <c r="BQ56" i="1"/>
  <c r="BZ59" i="1"/>
  <c r="BD34" i="1"/>
  <c r="CF34" i="1"/>
  <c r="CN34" i="1"/>
  <c r="CM34" i="1"/>
  <c r="CK34" i="1"/>
  <c r="CH34" i="1"/>
  <c r="CA34" i="1"/>
  <c r="CT34" i="1"/>
  <c r="CQ34" i="1"/>
  <c r="CR34" i="1"/>
  <c r="CP34" i="1"/>
  <c r="CO34" i="1"/>
  <c r="CL34" i="1"/>
  <c r="CD34" i="1"/>
  <c r="CJ34" i="1"/>
  <c r="CI34" i="1"/>
  <c r="CE34" i="1"/>
  <c r="CG34" i="1"/>
  <c r="CC34" i="1"/>
  <c r="CB34" i="1"/>
  <c r="CS34" i="1"/>
  <c r="AS35" i="1"/>
  <c r="CR35" i="1"/>
  <c r="CB35" i="1"/>
  <c r="CJ35" i="1"/>
  <c r="CI35" i="1"/>
  <c r="CG35" i="1"/>
  <c r="CT35" i="1"/>
  <c r="CD35" i="1"/>
  <c r="CC35" i="1"/>
  <c r="CA35" i="1"/>
  <c r="CQ35" i="1"/>
  <c r="CP35" i="1"/>
  <c r="CO35" i="1"/>
  <c r="CK35" i="1"/>
  <c r="CF35" i="1"/>
  <c r="CN35" i="1"/>
  <c r="CM35" i="1"/>
  <c r="CH35" i="1"/>
  <c r="CL35" i="1"/>
  <c r="CE35" i="1"/>
  <c r="CS35" i="1"/>
  <c r="BD20" i="1"/>
  <c r="CN20" i="1"/>
  <c r="CF20" i="1"/>
  <c r="CE20" i="1"/>
  <c r="CS20" i="1"/>
  <c r="CC20" i="1"/>
  <c r="CP20" i="1"/>
  <c r="CA20" i="1"/>
  <c r="CR20" i="1"/>
  <c r="CO20" i="1"/>
  <c r="CM20" i="1"/>
  <c r="CD20" i="1"/>
  <c r="CL20" i="1"/>
  <c r="CJ20" i="1"/>
  <c r="CK20" i="1"/>
  <c r="CH20" i="1"/>
  <c r="CG20" i="1"/>
  <c r="CI20" i="1"/>
  <c r="CB20" i="1"/>
  <c r="CT20" i="1"/>
  <c r="CQ20" i="1"/>
  <c r="BG51" i="1"/>
  <c r="CR51" i="1"/>
  <c r="CB51" i="1"/>
  <c r="CQ51" i="1"/>
  <c r="CA51" i="1"/>
  <c r="CJ51" i="1"/>
  <c r="CH51" i="1"/>
  <c r="CI51" i="1"/>
  <c r="CG51" i="1"/>
  <c r="CT51" i="1"/>
  <c r="CD51" i="1"/>
  <c r="CN51" i="1"/>
  <c r="CM51" i="1"/>
  <c r="CL51" i="1"/>
  <c r="CE51" i="1"/>
  <c r="CF51" i="1"/>
  <c r="CC51" i="1"/>
  <c r="CP51" i="1"/>
  <c r="CS51" i="1"/>
  <c r="CO51" i="1"/>
  <c r="CK51" i="1"/>
  <c r="BW29" i="1"/>
  <c r="BW42" i="1"/>
  <c r="BW48" i="1"/>
  <c r="BJ22" i="1"/>
  <c r="CF22" i="1"/>
  <c r="CN22" i="1"/>
  <c r="CM22" i="1"/>
  <c r="CK22" i="1"/>
  <c r="CH22" i="1"/>
  <c r="CG22" i="1"/>
  <c r="CE22" i="1"/>
  <c r="CD22" i="1"/>
  <c r="CC22" i="1"/>
  <c r="CB22" i="1"/>
  <c r="CT22" i="1"/>
  <c r="CS22" i="1"/>
  <c r="CQ22" i="1"/>
  <c r="CO22" i="1"/>
  <c r="CR22" i="1"/>
  <c r="CJ22" i="1"/>
  <c r="CP22" i="1"/>
  <c r="CL22" i="1"/>
  <c r="CI22" i="1"/>
  <c r="CA22" i="1"/>
  <c r="BG38" i="1"/>
  <c r="CF38" i="1"/>
  <c r="CN38" i="1"/>
  <c r="CL38" i="1"/>
  <c r="CM38" i="1"/>
  <c r="CK38" i="1"/>
  <c r="CH38" i="1"/>
  <c r="CR38" i="1"/>
  <c r="CQ38" i="1"/>
  <c r="CP38" i="1"/>
  <c r="CO38" i="1"/>
  <c r="CJ38" i="1"/>
  <c r="CI38" i="1"/>
  <c r="CG38" i="1"/>
  <c r="CE38" i="1"/>
  <c r="CD38" i="1"/>
  <c r="CT38" i="1"/>
  <c r="CC38" i="1"/>
  <c r="CB38" i="1"/>
  <c r="CA38" i="1"/>
  <c r="CS38" i="1"/>
  <c r="AM53" i="1"/>
  <c r="CJ53" i="1"/>
  <c r="CI53" i="1"/>
  <c r="CR53" i="1"/>
  <c r="CB53" i="1"/>
  <c r="CP53" i="1"/>
  <c r="CQ53" i="1"/>
  <c r="CA53" i="1"/>
  <c r="CO53" i="1"/>
  <c r="CL53" i="1"/>
  <c r="CD53" i="1"/>
  <c r="CC53" i="1"/>
  <c r="CT53" i="1"/>
  <c r="CS53" i="1"/>
  <c r="CH53" i="1"/>
  <c r="CF53" i="1"/>
  <c r="CN53" i="1"/>
  <c r="CM53" i="1"/>
  <c r="CK53" i="1"/>
  <c r="CG53" i="1"/>
  <c r="CE53" i="1"/>
  <c r="BQ21" i="1"/>
  <c r="BU26" i="1"/>
  <c r="BW37" i="1"/>
  <c r="BT43" i="1"/>
  <c r="BQ60" i="1"/>
  <c r="BL23" i="1"/>
  <c r="CR23" i="1"/>
  <c r="CB23" i="1"/>
  <c r="CJ23" i="1"/>
  <c r="CI23" i="1"/>
  <c r="CG23" i="1"/>
  <c r="CT23" i="1"/>
  <c r="CD23" i="1"/>
  <c r="CL23" i="1"/>
  <c r="CK23" i="1"/>
  <c r="CE23" i="1"/>
  <c r="CA23" i="1"/>
  <c r="CP23" i="1"/>
  <c r="CS23" i="1"/>
  <c r="CO23" i="1"/>
  <c r="CQ23" i="1"/>
  <c r="CN23" i="1"/>
  <c r="CM23" i="1"/>
  <c r="CH23" i="1"/>
  <c r="CF23" i="1"/>
  <c r="CC23" i="1"/>
  <c r="BV26" i="1"/>
  <c r="BQ33" i="1"/>
  <c r="BU43" i="1"/>
  <c r="BR49" i="1"/>
  <c r="BD24" i="1"/>
  <c r="CN24" i="1"/>
  <c r="CF24" i="1"/>
  <c r="CE24" i="1"/>
  <c r="CS24" i="1"/>
  <c r="CC24" i="1"/>
  <c r="CP24" i="1"/>
  <c r="CM24" i="1"/>
  <c r="CL24" i="1"/>
  <c r="CK24" i="1"/>
  <c r="CJ24" i="1"/>
  <c r="CI24" i="1"/>
  <c r="CH24" i="1"/>
  <c r="CG24" i="1"/>
  <c r="CD24" i="1"/>
  <c r="CB24" i="1"/>
  <c r="CQ24" i="1"/>
  <c r="CA24" i="1"/>
  <c r="CT24" i="1"/>
  <c r="CR24" i="1"/>
  <c r="CO24" i="1"/>
  <c r="AN40" i="1"/>
  <c r="CN40" i="1"/>
  <c r="CM40" i="1"/>
  <c r="CF40" i="1"/>
  <c r="CT40" i="1"/>
  <c r="CD40" i="1"/>
  <c r="CE40" i="1"/>
  <c r="CS40" i="1"/>
  <c r="CC40" i="1"/>
  <c r="CP40" i="1"/>
  <c r="CH40" i="1"/>
  <c r="CG40" i="1"/>
  <c r="CB40" i="1"/>
  <c r="CL40" i="1"/>
  <c r="CK40" i="1"/>
  <c r="CR40" i="1"/>
  <c r="CQ40" i="1"/>
  <c r="CJ40" i="1"/>
  <c r="CO40" i="1"/>
  <c r="CI40" i="1"/>
  <c r="CA40" i="1"/>
  <c r="BW33" i="1"/>
  <c r="BX43" i="1"/>
  <c r="BU49" i="1"/>
  <c r="BW60" i="1"/>
  <c r="BL25" i="1"/>
  <c r="CJ25" i="1"/>
  <c r="CR25" i="1"/>
  <c r="CB25" i="1"/>
  <c r="CA25" i="1"/>
  <c r="CQ25" i="1"/>
  <c r="CO25" i="1"/>
  <c r="CL25" i="1"/>
  <c r="CS25" i="1"/>
  <c r="CP25" i="1"/>
  <c r="CN25" i="1"/>
  <c r="CI25" i="1"/>
  <c r="CK25" i="1"/>
  <c r="CH25" i="1"/>
  <c r="CG25" i="1"/>
  <c r="CF25" i="1"/>
  <c r="CE25" i="1"/>
  <c r="CD25" i="1"/>
  <c r="CC25" i="1"/>
  <c r="CT25" i="1"/>
  <c r="CM25" i="1"/>
  <c r="BB41" i="1"/>
  <c r="CJ41" i="1"/>
  <c r="CI41" i="1"/>
  <c r="CR41" i="1"/>
  <c r="CB41" i="1"/>
  <c r="CQ41" i="1"/>
  <c r="CA41" i="1"/>
  <c r="CP41" i="1"/>
  <c r="CO41" i="1"/>
  <c r="CL41" i="1"/>
  <c r="CN41" i="1"/>
  <c r="CM41" i="1"/>
  <c r="CK41" i="1"/>
  <c r="CH41" i="1"/>
  <c r="CF41" i="1"/>
  <c r="CG41" i="1"/>
  <c r="CE41" i="1"/>
  <c r="CD41" i="1"/>
  <c r="CC41" i="1"/>
  <c r="CT41" i="1"/>
  <c r="CS41" i="1"/>
  <c r="AI56" i="1"/>
  <c r="CF56" i="1"/>
  <c r="CE56" i="1"/>
  <c r="CN56" i="1"/>
  <c r="CL56" i="1"/>
  <c r="CM56" i="1"/>
  <c r="CK56" i="1"/>
  <c r="CH56" i="1"/>
  <c r="CJ56" i="1"/>
  <c r="CI56" i="1"/>
  <c r="CG56" i="1"/>
  <c r="CD56" i="1"/>
  <c r="CB56" i="1"/>
  <c r="CC56" i="1"/>
  <c r="CA56" i="1"/>
  <c r="CR56" i="1"/>
  <c r="CQ56" i="1"/>
  <c r="CP56" i="1"/>
  <c r="CT56" i="1"/>
  <c r="CS56" i="1"/>
  <c r="CO56" i="1"/>
  <c r="BX21" i="1"/>
  <c r="BX33" i="1"/>
  <c r="BQ40" i="1"/>
  <c r="BQ44" i="1"/>
  <c r="BV49" i="1"/>
  <c r="BR57" i="1"/>
  <c r="BX60" i="1"/>
  <c r="BO39" i="1"/>
  <c r="CR39" i="1"/>
  <c r="CB39" i="1"/>
  <c r="CQ39" i="1"/>
  <c r="CA39" i="1"/>
  <c r="CJ39" i="1"/>
  <c r="CI39" i="1"/>
  <c r="CH39" i="1"/>
  <c r="CG39" i="1"/>
  <c r="CT39" i="1"/>
  <c r="CD39" i="1"/>
  <c r="CS39" i="1"/>
  <c r="CO39" i="1"/>
  <c r="CN39" i="1"/>
  <c r="CM39" i="1"/>
  <c r="CL39" i="1"/>
  <c r="CK39" i="1"/>
  <c r="CE39" i="1"/>
  <c r="CC39" i="1"/>
  <c r="CF39" i="1"/>
  <c r="CP39" i="1"/>
  <c r="BW49" i="1"/>
  <c r="BU57" i="1"/>
  <c r="BD26" i="1"/>
  <c r="CF26" i="1"/>
  <c r="CN26" i="1"/>
  <c r="CM26" i="1"/>
  <c r="CK26" i="1"/>
  <c r="CH26" i="1"/>
  <c r="CT26" i="1"/>
  <c r="CS26" i="1"/>
  <c r="CQ26" i="1"/>
  <c r="CP26" i="1"/>
  <c r="CL26" i="1"/>
  <c r="CJ26" i="1"/>
  <c r="CI26" i="1"/>
  <c r="CE26" i="1"/>
  <c r="CC26" i="1"/>
  <c r="CB26" i="1"/>
  <c r="CG26" i="1"/>
  <c r="CA26" i="1"/>
  <c r="CD26" i="1"/>
  <c r="CR26" i="1"/>
  <c r="CO26" i="1"/>
  <c r="BL27" i="1"/>
  <c r="CR27" i="1"/>
  <c r="CB27" i="1"/>
  <c r="CJ27" i="1"/>
  <c r="CI27" i="1"/>
  <c r="CG27" i="1"/>
  <c r="CT27" i="1"/>
  <c r="CD27" i="1"/>
  <c r="CP27" i="1"/>
  <c r="CQ27" i="1"/>
  <c r="CO27" i="1"/>
  <c r="CN27" i="1"/>
  <c r="CM27" i="1"/>
  <c r="CL27" i="1"/>
  <c r="CK27" i="1"/>
  <c r="CE27" i="1"/>
  <c r="CH27" i="1"/>
  <c r="CF27" i="1"/>
  <c r="CC27" i="1"/>
  <c r="CA27" i="1"/>
  <c r="CS27" i="1"/>
  <c r="BO48" i="1"/>
  <c r="CN48" i="1"/>
  <c r="CM48" i="1"/>
  <c r="CF48" i="1"/>
  <c r="CT48" i="1"/>
  <c r="CD48" i="1"/>
  <c r="CE48" i="1"/>
  <c r="CS48" i="1"/>
  <c r="CC48" i="1"/>
  <c r="CP48" i="1"/>
  <c r="CQ48" i="1"/>
  <c r="CO48" i="1"/>
  <c r="CL48" i="1"/>
  <c r="CI48" i="1"/>
  <c r="CJ48" i="1"/>
  <c r="CH48" i="1"/>
  <c r="CG48" i="1"/>
  <c r="CB48" i="1"/>
  <c r="CA48" i="1"/>
  <c r="CR48" i="1"/>
  <c r="CK48" i="1"/>
  <c r="BU27" i="1"/>
  <c r="BC59" i="1"/>
  <c r="CJ59" i="1"/>
  <c r="CI59" i="1"/>
  <c r="CR59" i="1"/>
  <c r="CB59" i="1"/>
  <c r="CP59" i="1"/>
  <c r="CQ59" i="1"/>
  <c r="CA59" i="1"/>
  <c r="CO59" i="1"/>
  <c r="CN59" i="1"/>
  <c r="CL59" i="1"/>
  <c r="CK59" i="1"/>
  <c r="CS59" i="1"/>
  <c r="CM59" i="1"/>
  <c r="CH59" i="1"/>
  <c r="CE59" i="1"/>
  <c r="CF59" i="1"/>
  <c r="CD59" i="1"/>
  <c r="CC59" i="1"/>
  <c r="CT59" i="1"/>
  <c r="CG59" i="1"/>
  <c r="BQ24" i="1"/>
  <c r="BX27" i="1"/>
  <c r="BZ40" i="1"/>
  <c r="BY44" i="1"/>
  <c r="BW57" i="1"/>
  <c r="BF29" i="1"/>
  <c r="CJ29" i="1"/>
  <c r="CR29" i="1"/>
  <c r="CB29" i="1"/>
  <c r="CQ29" i="1"/>
  <c r="CA29" i="1"/>
  <c r="CO29" i="1"/>
  <c r="CL29" i="1"/>
  <c r="CG29" i="1"/>
  <c r="CF29" i="1"/>
  <c r="CE29" i="1"/>
  <c r="CD29" i="1"/>
  <c r="CC29" i="1"/>
  <c r="CM29" i="1"/>
  <c r="CK29" i="1"/>
  <c r="CI29" i="1"/>
  <c r="CT29" i="1"/>
  <c r="CS29" i="1"/>
  <c r="CP29" i="1"/>
  <c r="CN29" i="1"/>
  <c r="CH29" i="1"/>
  <c r="BR24" i="1"/>
  <c r="BQ28" i="1"/>
  <c r="BZ44" i="1"/>
  <c r="BS51" i="1"/>
  <c r="BG30" i="1"/>
  <c r="CF30" i="1"/>
  <c r="CN30" i="1"/>
  <c r="CM30" i="1"/>
  <c r="CK30" i="1"/>
  <c r="CH30" i="1"/>
  <c r="CJ30" i="1"/>
  <c r="CI30" i="1"/>
  <c r="CG30" i="1"/>
  <c r="CD30" i="1"/>
  <c r="CB30" i="1"/>
  <c r="CA30" i="1"/>
  <c r="CS30" i="1"/>
  <c r="CQ30" i="1"/>
  <c r="CP30" i="1"/>
  <c r="CT30" i="1"/>
  <c r="CO30" i="1"/>
  <c r="CR30" i="1"/>
  <c r="CL30" i="1"/>
  <c r="CE30" i="1"/>
  <c r="CC30" i="1"/>
  <c r="BA46" i="1"/>
  <c r="CF46" i="1"/>
  <c r="CE46" i="1"/>
  <c r="CN46" i="1"/>
  <c r="CL46" i="1"/>
  <c r="CM46" i="1"/>
  <c r="CK46" i="1"/>
  <c r="CH46" i="1"/>
  <c r="CA46" i="1"/>
  <c r="CS46" i="1"/>
  <c r="CT46" i="1"/>
  <c r="CR46" i="1"/>
  <c r="CQ46" i="1"/>
  <c r="CC46" i="1"/>
  <c r="CP46" i="1"/>
  <c r="CO46" i="1"/>
  <c r="CJ46" i="1"/>
  <c r="CG46" i="1"/>
  <c r="CI46" i="1"/>
  <c r="CD46" i="1"/>
  <c r="CB46" i="1"/>
  <c r="BV24" i="1"/>
  <c r="BR28" i="1"/>
  <c r="BW34" i="1"/>
  <c r="BW41" i="1"/>
  <c r="BQ45" i="1"/>
  <c r="BY51" i="1"/>
  <c r="BT58" i="1"/>
  <c r="BD61" i="1"/>
  <c r="CH61" i="1"/>
  <c r="CF61" i="1"/>
  <c r="CC61" i="1"/>
  <c r="CG61" i="1"/>
  <c r="CM61" i="1"/>
  <c r="CL61" i="1"/>
  <c r="CE61" i="1"/>
  <c r="CT61" i="1"/>
  <c r="CD61" i="1"/>
  <c r="CS61" i="1"/>
  <c r="CR61" i="1"/>
  <c r="CB61" i="1"/>
  <c r="CQ61" i="1"/>
  <c r="CA61" i="1"/>
  <c r="CP61" i="1"/>
  <c r="CO61" i="1"/>
  <c r="CN61" i="1"/>
  <c r="CK61" i="1"/>
  <c r="CI61" i="1"/>
  <c r="CJ61" i="1"/>
  <c r="BG55" i="1"/>
  <c r="CQ55" i="1"/>
  <c r="CA55" i="1"/>
  <c r="CP55" i="1"/>
  <c r="CM55" i="1"/>
  <c r="CO55" i="1"/>
  <c r="CN55" i="1"/>
  <c r="CL55" i="1"/>
  <c r="CK55" i="1"/>
  <c r="CJ55" i="1"/>
  <c r="CD55" i="1"/>
  <c r="CI55" i="1"/>
  <c r="CH55" i="1"/>
  <c r="CF55" i="1"/>
  <c r="CE55" i="1"/>
  <c r="CT55" i="1"/>
  <c r="CG55" i="1"/>
  <c r="CS55" i="1"/>
  <c r="CC55" i="1"/>
  <c r="CR55" i="1"/>
  <c r="CB55" i="1"/>
  <c r="AS54" i="1"/>
  <c r="CT54" i="1"/>
  <c r="CD54" i="1"/>
  <c r="CS54" i="1"/>
  <c r="CC54" i="1"/>
  <c r="CR54" i="1"/>
  <c r="CB54" i="1"/>
  <c r="CQ54" i="1"/>
  <c r="CA54" i="1"/>
  <c r="CI54" i="1"/>
  <c r="CP54" i="1"/>
  <c r="CO54" i="1"/>
  <c r="CN54" i="1"/>
  <c r="CM54" i="1"/>
  <c r="CL54" i="1"/>
  <c r="CK54" i="1"/>
  <c r="CJ54" i="1"/>
  <c r="CH54" i="1"/>
  <c r="CG54" i="1"/>
  <c r="CF54" i="1"/>
  <c r="CE54" i="1"/>
  <c r="O67" i="1"/>
  <c r="Q67" i="1" s="1"/>
  <c r="BX19" i="1"/>
  <c r="BZ30" i="1"/>
  <c r="BV32" i="1"/>
  <c r="BZ38" i="1"/>
  <c r="BV40" i="1"/>
  <c r="BX50" i="1"/>
  <c r="BZ53" i="1"/>
  <c r="BZ61" i="1"/>
  <c r="BS18" i="1"/>
  <c r="BY19" i="1"/>
  <c r="BU21" i="1"/>
  <c r="BQ23" i="1"/>
  <c r="BW24" i="1"/>
  <c r="BS26" i="1"/>
  <c r="BY27" i="1"/>
  <c r="BU29" i="1"/>
  <c r="BQ31" i="1"/>
  <c r="BW32" i="1"/>
  <c r="BS34" i="1"/>
  <c r="BY35" i="1"/>
  <c r="BU37" i="1"/>
  <c r="BQ39" i="1"/>
  <c r="BW40" i="1"/>
  <c r="BS42" i="1"/>
  <c r="BY43" i="1"/>
  <c r="BU45" i="1"/>
  <c r="BQ47" i="1"/>
  <c r="BS49" i="1"/>
  <c r="BY50" i="1"/>
  <c r="BU52" i="1"/>
  <c r="BQ54" i="1"/>
  <c r="BW55" i="1"/>
  <c r="BS57" i="1"/>
  <c r="BY58" i="1"/>
  <c r="BU60" i="1"/>
  <c r="BQ62" i="1"/>
  <c r="BZ22" i="1"/>
  <c r="BX35" i="1"/>
  <c r="BZ46" i="1"/>
  <c r="BV55" i="1"/>
  <c r="BT18" i="1"/>
  <c r="BZ19" i="1"/>
  <c r="BV21" i="1"/>
  <c r="BR23" i="1"/>
  <c r="BX24" i="1"/>
  <c r="BT26" i="1"/>
  <c r="BZ27" i="1"/>
  <c r="BV29" i="1"/>
  <c r="BR31" i="1"/>
  <c r="BX32" i="1"/>
  <c r="BT34" i="1"/>
  <c r="BZ35" i="1"/>
  <c r="BV37" i="1"/>
  <c r="BR39" i="1"/>
  <c r="BX40" i="1"/>
  <c r="BT42" i="1"/>
  <c r="BZ43" i="1"/>
  <c r="BV45" i="1"/>
  <c r="BR47" i="1"/>
  <c r="BT49" i="1"/>
  <c r="BZ50" i="1"/>
  <c r="BV52" i="1"/>
  <c r="BR54" i="1"/>
  <c r="BX55" i="1"/>
  <c r="BT57" i="1"/>
  <c r="BZ58" i="1"/>
  <c r="BV60" i="1"/>
  <c r="BR62" i="1"/>
  <c r="BS31" i="1"/>
  <c r="BY32" i="1"/>
  <c r="BS39" i="1"/>
  <c r="BS47" i="1"/>
  <c r="BS54" i="1"/>
  <c r="BY55" i="1"/>
  <c r="BS62" i="1"/>
  <c r="BT39" i="1"/>
  <c r="BT54" i="1"/>
  <c r="BZ55" i="1"/>
  <c r="BT62" i="1"/>
  <c r="BT23" i="1"/>
  <c r="BT47" i="1"/>
  <c r="BU47" i="1"/>
  <c r="BU54" i="1"/>
  <c r="BX18" i="1"/>
  <c r="BT20" i="1"/>
  <c r="BZ21" i="1"/>
  <c r="BV23" i="1"/>
  <c r="BR25" i="1"/>
  <c r="BX26" i="1"/>
  <c r="BT28" i="1"/>
  <c r="BZ29" i="1"/>
  <c r="BV31" i="1"/>
  <c r="BR33" i="1"/>
  <c r="BX34" i="1"/>
  <c r="BT36" i="1"/>
  <c r="BZ37" i="1"/>
  <c r="BV39" i="1"/>
  <c r="BR41" i="1"/>
  <c r="BX42" i="1"/>
  <c r="BT44" i="1"/>
  <c r="BZ45" i="1"/>
  <c r="BV47" i="1"/>
  <c r="BR48" i="1"/>
  <c r="BX49" i="1"/>
  <c r="BT51" i="1"/>
  <c r="BZ52" i="1"/>
  <c r="BV54" i="1"/>
  <c r="BR56" i="1"/>
  <c r="BX57" i="1"/>
  <c r="BT59" i="1"/>
  <c r="BZ60" i="1"/>
  <c r="BV62" i="1"/>
  <c r="BT31" i="1"/>
  <c r="BZ32" i="1"/>
  <c r="BU23" i="1"/>
  <c r="BY18" i="1"/>
  <c r="BU20" i="1"/>
  <c r="BQ22" i="1"/>
  <c r="BW23" i="1"/>
  <c r="BS25" i="1"/>
  <c r="BY26" i="1"/>
  <c r="BU28" i="1"/>
  <c r="BQ30" i="1"/>
  <c r="BW31" i="1"/>
  <c r="BS33" i="1"/>
  <c r="BY34" i="1"/>
  <c r="BU36" i="1"/>
  <c r="BQ38" i="1"/>
  <c r="BW39" i="1"/>
  <c r="BS41" i="1"/>
  <c r="BY42" i="1"/>
  <c r="BU44" i="1"/>
  <c r="BQ46" i="1"/>
  <c r="BW47" i="1"/>
  <c r="BS48" i="1"/>
  <c r="BY49" i="1"/>
  <c r="BU51" i="1"/>
  <c r="BQ53" i="1"/>
  <c r="BW54" i="1"/>
  <c r="BS56" i="1"/>
  <c r="BY57" i="1"/>
  <c r="BU59" i="1"/>
  <c r="BQ61" i="1"/>
  <c r="BW62" i="1"/>
  <c r="BU62" i="1"/>
  <c r="BZ18" i="1"/>
  <c r="BV20" i="1"/>
  <c r="BR22" i="1"/>
  <c r="BX23" i="1"/>
  <c r="BT25" i="1"/>
  <c r="BZ26" i="1"/>
  <c r="BV28" i="1"/>
  <c r="BR30" i="1"/>
  <c r="BX31" i="1"/>
  <c r="BT33" i="1"/>
  <c r="BZ34" i="1"/>
  <c r="BV36" i="1"/>
  <c r="BR38" i="1"/>
  <c r="BX39" i="1"/>
  <c r="BT41" i="1"/>
  <c r="BZ42" i="1"/>
  <c r="BV44" i="1"/>
  <c r="BR46" i="1"/>
  <c r="BX47" i="1"/>
  <c r="BT48" i="1"/>
  <c r="BZ49" i="1"/>
  <c r="BV51" i="1"/>
  <c r="BR53" i="1"/>
  <c r="BX54" i="1"/>
  <c r="BT56" i="1"/>
  <c r="BZ57" i="1"/>
  <c r="BV59" i="1"/>
  <c r="BR61" i="1"/>
  <c r="BX62" i="1"/>
  <c r="BU31" i="1"/>
  <c r="BQ19" i="1"/>
  <c r="BW20" i="1"/>
  <c r="BS22" i="1"/>
  <c r="BY23" i="1"/>
  <c r="BU25" i="1"/>
  <c r="BQ27" i="1"/>
  <c r="BW28" i="1"/>
  <c r="BS30" i="1"/>
  <c r="BY31" i="1"/>
  <c r="BU33" i="1"/>
  <c r="BQ35" i="1"/>
  <c r="BW36" i="1"/>
  <c r="BS38" i="1"/>
  <c r="BY39" i="1"/>
  <c r="BU41" i="1"/>
  <c r="BQ43" i="1"/>
  <c r="BW44" i="1"/>
  <c r="BS46" i="1"/>
  <c r="BY47" i="1"/>
  <c r="BU48" i="1"/>
  <c r="BQ50" i="1"/>
  <c r="BW51" i="1"/>
  <c r="BS53" i="1"/>
  <c r="BY54" i="1"/>
  <c r="BU56" i="1"/>
  <c r="BQ58" i="1"/>
  <c r="BW59" i="1"/>
  <c r="BS61" i="1"/>
  <c r="BY62" i="1"/>
  <c r="BU39" i="1"/>
  <c r="BR19" i="1"/>
  <c r="BX20" i="1"/>
  <c r="BT22" i="1"/>
  <c r="BZ23" i="1"/>
  <c r="BV25" i="1"/>
  <c r="BR27" i="1"/>
  <c r="BX28" i="1"/>
  <c r="BT30" i="1"/>
  <c r="BZ31" i="1"/>
  <c r="BV33" i="1"/>
  <c r="BR35" i="1"/>
  <c r="BX36" i="1"/>
  <c r="BT38" i="1"/>
  <c r="BZ39" i="1"/>
  <c r="BV41" i="1"/>
  <c r="BR43" i="1"/>
  <c r="BX44" i="1"/>
  <c r="BT46" i="1"/>
  <c r="BZ47" i="1"/>
  <c r="BV48" i="1"/>
  <c r="BR50" i="1"/>
  <c r="BX51" i="1"/>
  <c r="BT53" i="1"/>
  <c r="BZ54" i="1"/>
  <c r="BV56" i="1"/>
  <c r="BR58" i="1"/>
  <c r="BX59" i="1"/>
  <c r="BT61" i="1"/>
  <c r="BZ62" i="1"/>
  <c r="BS19" i="1"/>
  <c r="BU22" i="1"/>
  <c r="BU30" i="1"/>
  <c r="BQ32" i="1"/>
  <c r="BS35" i="1"/>
  <c r="BU38" i="1"/>
  <c r="BU46" i="1"/>
  <c r="BS50" i="1"/>
  <c r="BU53" i="1"/>
  <c r="BQ55" i="1"/>
  <c r="BU61" i="1"/>
  <c r="BV30" i="1"/>
  <c r="BR32" i="1"/>
  <c r="BT35" i="1"/>
  <c r="BV38" i="1"/>
  <c r="BV46" i="1"/>
  <c r="BT50" i="1"/>
  <c r="BV53" i="1"/>
  <c r="BR55" i="1"/>
  <c r="BV61" i="1"/>
  <c r="BV22" i="1"/>
  <c r="V41" i="1"/>
  <c r="W41" i="1" s="1"/>
  <c r="BS32" i="1"/>
  <c r="BW46" i="1"/>
  <c r="BU50" i="1"/>
  <c r="BW61" i="1"/>
  <c r="BV19" i="1"/>
  <c r="BR21" i="1"/>
  <c r="BX22" i="1"/>
  <c r="BT24" i="1"/>
  <c r="BZ25" i="1"/>
  <c r="BV27" i="1"/>
  <c r="BR29" i="1"/>
  <c r="BX30" i="1"/>
  <c r="BT32" i="1"/>
  <c r="BZ33" i="1"/>
  <c r="BV35" i="1"/>
  <c r="BR37" i="1"/>
  <c r="BX38" i="1"/>
  <c r="BT40" i="1"/>
  <c r="BZ41" i="1"/>
  <c r="BV43" i="1"/>
  <c r="BR45" i="1"/>
  <c r="BX46" i="1"/>
  <c r="BZ48" i="1"/>
  <c r="BV50" i="1"/>
  <c r="BR52" i="1"/>
  <c r="BX53" i="1"/>
  <c r="BT55" i="1"/>
  <c r="BZ56" i="1"/>
  <c r="BV58" i="1"/>
  <c r="BR60" i="1"/>
  <c r="BX61" i="1"/>
  <c r="BT19" i="1"/>
  <c r="BU19" i="1"/>
  <c r="BW22" i="1"/>
  <c r="BS24" i="1"/>
  <c r="BW30" i="1"/>
  <c r="BU35" i="1"/>
  <c r="BW38" i="1"/>
  <c r="BS40" i="1"/>
  <c r="BW53" i="1"/>
  <c r="BS55" i="1"/>
  <c r="BQ18" i="1"/>
  <c r="BW19" i="1"/>
  <c r="BS21" i="1"/>
  <c r="BY22" i="1"/>
  <c r="BU24" i="1"/>
  <c r="BQ26" i="1"/>
  <c r="BW27" i="1"/>
  <c r="BS29" i="1"/>
  <c r="BY30" i="1"/>
  <c r="BU32" i="1"/>
  <c r="BQ34" i="1"/>
  <c r="BW35" i="1"/>
  <c r="BS37" i="1"/>
  <c r="BY38" i="1"/>
  <c r="BU40" i="1"/>
  <c r="BQ42" i="1"/>
  <c r="BW43" i="1"/>
  <c r="BS45" i="1"/>
  <c r="BY46" i="1"/>
  <c r="BQ49" i="1"/>
  <c r="BW50" i="1"/>
  <c r="BS52" i="1"/>
  <c r="BY53" i="1"/>
  <c r="BU55" i="1"/>
  <c r="BW58" i="1"/>
  <c r="BS60" i="1"/>
  <c r="BY61" i="1"/>
  <c r="T18" i="1"/>
  <c r="V18" i="1" s="1"/>
  <c r="W18" i="1" s="1"/>
  <c r="V45" i="1"/>
  <c r="W45" i="1" s="1"/>
  <c r="V46" i="1"/>
  <c r="W46" i="1" s="1"/>
  <c r="V35" i="1"/>
  <c r="W35" i="1" s="1"/>
  <c r="V59" i="1"/>
  <c r="W59" i="1" s="1"/>
  <c r="V36" i="1"/>
  <c r="W36" i="1" s="1"/>
  <c r="V38" i="1"/>
  <c r="W38" i="1" s="1"/>
  <c r="V39" i="1"/>
  <c r="W39" i="1" s="1"/>
  <c r="V42" i="1"/>
  <c r="W42" i="1" s="1"/>
  <c r="AC37" i="1"/>
  <c r="AC39" i="1"/>
  <c r="AJ23" i="1"/>
  <c r="AS39" i="1"/>
  <c r="AM40" i="1"/>
  <c r="AE48" i="1"/>
  <c r="BL54" i="1"/>
  <c r="AV56" i="1"/>
  <c r="BG37" i="1"/>
  <c r="BL41" i="1"/>
  <c r="BB31" i="1"/>
  <c r="BI31" i="1"/>
  <c r="AV48" i="1"/>
  <c r="AS32" i="1"/>
  <c r="BC49" i="1"/>
  <c r="BJ32" i="1"/>
  <c r="AF50" i="1"/>
  <c r="AE33" i="1"/>
  <c r="AM51" i="1"/>
  <c r="AI34" i="1"/>
  <c r="BD51" i="1"/>
  <c r="AK32" i="1"/>
  <c r="AS34" i="1"/>
  <c r="BK34" i="1"/>
  <c r="AL37" i="1"/>
  <c r="BC29" i="1"/>
  <c r="BH29" i="1"/>
  <c r="AE56" i="1"/>
  <c r="AE30" i="1"/>
  <c r="AW30" i="1"/>
  <c r="BD30" i="1"/>
  <c r="BI35" i="1"/>
  <c r="AN46" i="1"/>
  <c r="AM44" i="1"/>
  <c r="AK30" i="1"/>
  <c r="AF35" i="1"/>
  <c r="BD44" i="1"/>
  <c r="BA35" i="1"/>
  <c r="AI60" i="1"/>
  <c r="AE31" i="1"/>
  <c r="AN36" i="1"/>
  <c r="AU47" i="1"/>
  <c r="AL31" i="1"/>
  <c r="AW36" i="1"/>
  <c r="BL47" i="1"/>
  <c r="AP23" i="1"/>
  <c r="AM29" i="1"/>
  <c r="AV33" i="1"/>
  <c r="BC40" i="1"/>
  <c r="BK52" i="1"/>
  <c r="AQ23" i="1"/>
  <c r="AR29" i="1"/>
  <c r="BC33" i="1"/>
  <c r="AV41" i="1"/>
  <c r="AU54" i="1"/>
  <c r="BB42" i="1"/>
  <c r="AL42" i="1"/>
  <c r="BP42" i="1"/>
  <c r="AZ42" i="1"/>
  <c r="AJ42" i="1"/>
  <c r="BO42" i="1"/>
  <c r="AY42" i="1"/>
  <c r="AI42" i="1"/>
  <c r="BN42" i="1"/>
  <c r="AX42" i="1"/>
  <c r="AH42" i="1"/>
  <c r="BM42" i="1"/>
  <c r="AW42" i="1"/>
  <c r="AG42" i="1"/>
  <c r="BL42" i="1"/>
  <c r="AV42" i="1"/>
  <c r="AF42" i="1"/>
  <c r="BK42" i="1"/>
  <c r="AU42" i="1"/>
  <c r="AE42" i="1"/>
  <c r="BI42" i="1"/>
  <c r="AS42" i="1"/>
  <c r="AC42" i="1"/>
  <c r="BH42" i="1"/>
  <c r="AR42" i="1"/>
  <c r="BF42" i="1"/>
  <c r="AP42" i="1"/>
  <c r="BE42" i="1"/>
  <c r="AO42" i="1"/>
  <c r="BB57" i="1"/>
  <c r="AL57" i="1"/>
  <c r="BP57" i="1"/>
  <c r="AZ57" i="1"/>
  <c r="AJ57" i="1"/>
  <c r="BO57" i="1"/>
  <c r="AY57" i="1"/>
  <c r="AI57" i="1"/>
  <c r="BN57" i="1"/>
  <c r="AX57" i="1"/>
  <c r="AH57" i="1"/>
  <c r="BM57" i="1"/>
  <c r="AW57" i="1"/>
  <c r="AG57" i="1"/>
  <c r="BL57" i="1"/>
  <c r="AV57" i="1"/>
  <c r="AF57" i="1"/>
  <c r="BK57" i="1"/>
  <c r="AU57" i="1"/>
  <c r="AE57" i="1"/>
  <c r="BJ57" i="1"/>
  <c r="AT57" i="1"/>
  <c r="AD57" i="1"/>
  <c r="BI57" i="1"/>
  <c r="AS57" i="1"/>
  <c r="AC57" i="1"/>
  <c r="BH57" i="1"/>
  <c r="AR57" i="1"/>
  <c r="BF57" i="1"/>
  <c r="AP57" i="1"/>
  <c r="BE57" i="1"/>
  <c r="AO57" i="1"/>
  <c r="AQ29" i="1"/>
  <c r="BG29" i="1"/>
  <c r="AI30" i="1"/>
  <c r="BC30" i="1"/>
  <c r="AK31" i="1"/>
  <c r="BG31" i="1"/>
  <c r="AQ32" i="1"/>
  <c r="AC33" i="1"/>
  <c r="BB33" i="1"/>
  <c r="AQ34" i="1"/>
  <c r="AE35" i="1"/>
  <c r="BG35" i="1"/>
  <c r="AU36" i="1"/>
  <c r="AK37" i="1"/>
  <c r="BO37" i="1"/>
  <c r="AL39" i="1"/>
  <c r="BA40" i="1"/>
  <c r="BK41" i="1"/>
  <c r="AF43" i="1"/>
  <c r="BC44" i="1"/>
  <c r="AM46" i="1"/>
  <c r="BK47" i="1"/>
  <c r="AU48" i="1"/>
  <c r="AE50" i="1"/>
  <c r="BC51" i="1"/>
  <c r="BK54" i="1"/>
  <c r="AU56" i="1"/>
  <c r="AE58" i="1"/>
  <c r="AF60" i="1"/>
  <c r="AI62" i="1"/>
  <c r="BB53" i="1"/>
  <c r="AL53" i="1"/>
  <c r="BP53" i="1"/>
  <c r="AZ53" i="1"/>
  <c r="AJ53" i="1"/>
  <c r="BO53" i="1"/>
  <c r="AY53" i="1"/>
  <c r="AI53" i="1"/>
  <c r="BN53" i="1"/>
  <c r="AX53" i="1"/>
  <c r="AH53" i="1"/>
  <c r="BM53" i="1"/>
  <c r="AW53" i="1"/>
  <c r="AG53" i="1"/>
  <c r="BL53" i="1"/>
  <c r="AV53" i="1"/>
  <c r="AF53" i="1"/>
  <c r="BK53" i="1"/>
  <c r="AU53" i="1"/>
  <c r="AE53" i="1"/>
  <c r="BJ53" i="1"/>
  <c r="AT53" i="1"/>
  <c r="AD53" i="1"/>
  <c r="BI53" i="1"/>
  <c r="AS53" i="1"/>
  <c r="AC53" i="1"/>
  <c r="BH53" i="1"/>
  <c r="AR53" i="1"/>
  <c r="BF53" i="1"/>
  <c r="AP53" i="1"/>
  <c r="BE53" i="1"/>
  <c r="AO53" i="1"/>
  <c r="AI43" i="1"/>
  <c r="BB59" i="1"/>
  <c r="AL59" i="1"/>
  <c r="BA59" i="1"/>
  <c r="AK59" i="1"/>
  <c r="BP59" i="1"/>
  <c r="AZ59" i="1"/>
  <c r="AJ59" i="1"/>
  <c r="BO59" i="1"/>
  <c r="AY59" i="1"/>
  <c r="AI59" i="1"/>
  <c r="BN59" i="1"/>
  <c r="AX59" i="1"/>
  <c r="AH59" i="1"/>
  <c r="BM59" i="1"/>
  <c r="AW59" i="1"/>
  <c r="AG59" i="1"/>
  <c r="BL59" i="1"/>
  <c r="AV59" i="1"/>
  <c r="AF59" i="1"/>
  <c r="BK59" i="1"/>
  <c r="AU59" i="1"/>
  <c r="AE59" i="1"/>
  <c r="BJ59" i="1"/>
  <c r="AT59" i="1"/>
  <c r="AD59" i="1"/>
  <c r="BI59" i="1"/>
  <c r="AS59" i="1"/>
  <c r="AC59" i="1"/>
  <c r="BH59" i="1"/>
  <c r="AR59" i="1"/>
  <c r="BF59" i="1"/>
  <c r="AP59" i="1"/>
  <c r="BE59" i="1"/>
  <c r="AO59" i="1"/>
  <c r="AC29" i="1"/>
  <c r="AS29" i="1"/>
  <c r="BI29" i="1"/>
  <c r="AL30" i="1"/>
  <c r="BE30" i="1"/>
  <c r="AM31" i="1"/>
  <c r="BK31" i="1"/>
  <c r="AT32" i="1"/>
  <c r="AF33" i="1"/>
  <c r="BE33" i="1"/>
  <c r="AT34" i="1"/>
  <c r="AI35" i="1"/>
  <c r="BK35" i="1"/>
  <c r="AY36" i="1"/>
  <c r="AM37" i="1"/>
  <c r="AK38" i="1"/>
  <c r="AU39" i="1"/>
  <c r="BD40" i="1"/>
  <c r="BO41" i="1"/>
  <c r="AL43" i="1"/>
  <c r="AQ46" i="1"/>
  <c r="AY48" i="1"/>
  <c r="AI50" i="1"/>
  <c r="AQ53" i="1"/>
  <c r="BO54" i="1"/>
  <c r="AY56" i="1"/>
  <c r="AI58" i="1"/>
  <c r="AU60" i="1"/>
  <c r="AV62" i="1"/>
  <c r="AF58" i="1"/>
  <c r="BJ45" i="1"/>
  <c r="AT45" i="1"/>
  <c r="AD45" i="1"/>
  <c r="BH45" i="1"/>
  <c r="AR45" i="1"/>
  <c r="BG45" i="1"/>
  <c r="AQ45" i="1"/>
  <c r="BF45" i="1"/>
  <c r="AP45" i="1"/>
  <c r="BE45" i="1"/>
  <c r="AO45" i="1"/>
  <c r="BD45" i="1"/>
  <c r="AN45" i="1"/>
  <c r="BC45" i="1"/>
  <c r="AM45" i="1"/>
  <c r="BB45" i="1"/>
  <c r="AL45" i="1"/>
  <c r="BA45" i="1"/>
  <c r="AK45" i="1"/>
  <c r="BP45" i="1"/>
  <c r="AZ45" i="1"/>
  <c r="AJ45" i="1"/>
  <c r="BN45" i="1"/>
  <c r="AX45" i="1"/>
  <c r="AH45" i="1"/>
  <c r="BM45" i="1"/>
  <c r="AW45" i="1"/>
  <c r="AG45" i="1"/>
  <c r="AD29" i="1"/>
  <c r="AT29" i="1"/>
  <c r="BJ29" i="1"/>
  <c r="AM30" i="1"/>
  <c r="AN31" i="1"/>
  <c r="BL31" i="1"/>
  <c r="AU32" i="1"/>
  <c r="AG33" i="1"/>
  <c r="BG33" i="1"/>
  <c r="AU34" i="1"/>
  <c r="AK35" i="1"/>
  <c r="BL35" i="1"/>
  <c r="BA36" i="1"/>
  <c r="AO37" i="1"/>
  <c r="AM38" i="1"/>
  <c r="AV39" i="1"/>
  <c r="BG40" i="1"/>
  <c r="AD42" i="1"/>
  <c r="AS43" i="1"/>
  <c r="AC45" i="1"/>
  <c r="BI48" i="1"/>
  <c r="AS50" i="1"/>
  <c r="AC52" i="1"/>
  <c r="BA53" i="1"/>
  <c r="AK55" i="1"/>
  <c r="BI56" i="1"/>
  <c r="AU58" i="1"/>
  <c r="AY62" i="1"/>
  <c r="AU62" i="1"/>
  <c r="BB44" i="1"/>
  <c r="AL44" i="1"/>
  <c r="BP44" i="1"/>
  <c r="AZ44" i="1"/>
  <c r="AJ44" i="1"/>
  <c r="BO44" i="1"/>
  <c r="AY44" i="1"/>
  <c r="AI44" i="1"/>
  <c r="BN44" i="1"/>
  <c r="AX44" i="1"/>
  <c r="AH44" i="1"/>
  <c r="BM44" i="1"/>
  <c r="AW44" i="1"/>
  <c r="AG44" i="1"/>
  <c r="BL44" i="1"/>
  <c r="AV44" i="1"/>
  <c r="AF44" i="1"/>
  <c r="BK44" i="1"/>
  <c r="AU44" i="1"/>
  <c r="AE44" i="1"/>
  <c r="BJ44" i="1"/>
  <c r="AT44" i="1"/>
  <c r="AD44" i="1"/>
  <c r="BI44" i="1"/>
  <c r="AS44" i="1"/>
  <c r="AC44" i="1"/>
  <c r="BH44" i="1"/>
  <c r="AR44" i="1"/>
  <c r="BF44" i="1"/>
  <c r="AP44" i="1"/>
  <c r="BE44" i="1"/>
  <c r="AO44" i="1"/>
  <c r="BJ60" i="1"/>
  <c r="AT60" i="1"/>
  <c r="AD60" i="1"/>
  <c r="BI60" i="1"/>
  <c r="AS60" i="1"/>
  <c r="AC60" i="1"/>
  <c r="BH60" i="1"/>
  <c r="AR60" i="1"/>
  <c r="BG60" i="1"/>
  <c r="AQ60" i="1"/>
  <c r="BF60" i="1"/>
  <c r="AP60" i="1"/>
  <c r="BE60" i="1"/>
  <c r="AO60" i="1"/>
  <c r="BD60" i="1"/>
  <c r="AN60" i="1"/>
  <c r="BC60" i="1"/>
  <c r="AM60" i="1"/>
  <c r="BB60" i="1"/>
  <c r="AL60" i="1"/>
  <c r="BA60" i="1"/>
  <c r="AK60" i="1"/>
  <c r="BP60" i="1"/>
  <c r="AZ60" i="1"/>
  <c r="AJ60" i="1"/>
  <c r="BN60" i="1"/>
  <c r="AX60" i="1"/>
  <c r="AH60" i="1"/>
  <c r="BM60" i="1"/>
  <c r="AW60" i="1"/>
  <c r="AG60" i="1"/>
  <c r="BB30" i="1"/>
  <c r="BP30" i="1"/>
  <c r="AZ30" i="1"/>
  <c r="AJ30" i="1"/>
  <c r="BN30" i="1"/>
  <c r="BF30" i="1"/>
  <c r="AP30" i="1"/>
  <c r="BB46" i="1"/>
  <c r="AL46" i="1"/>
  <c r="BP46" i="1"/>
  <c r="AZ46" i="1"/>
  <c r="AJ46" i="1"/>
  <c r="BO46" i="1"/>
  <c r="AY46" i="1"/>
  <c r="AI46" i="1"/>
  <c r="BN46" i="1"/>
  <c r="AX46" i="1"/>
  <c r="AH46" i="1"/>
  <c r="BM46" i="1"/>
  <c r="AW46" i="1"/>
  <c r="AG46" i="1"/>
  <c r="BL46" i="1"/>
  <c r="AV46" i="1"/>
  <c r="AF46" i="1"/>
  <c r="BK46" i="1"/>
  <c r="AU46" i="1"/>
  <c r="AE46" i="1"/>
  <c r="BJ46" i="1"/>
  <c r="AT46" i="1"/>
  <c r="AD46" i="1"/>
  <c r="BI46" i="1"/>
  <c r="AS46" i="1"/>
  <c r="AC46" i="1"/>
  <c r="BH46" i="1"/>
  <c r="AR46" i="1"/>
  <c r="BF46" i="1"/>
  <c r="AP46" i="1"/>
  <c r="BE46" i="1"/>
  <c r="AO46" i="1"/>
  <c r="BB61" i="1"/>
  <c r="AL61" i="1"/>
  <c r="BA61" i="1"/>
  <c r="AK61" i="1"/>
  <c r="BP61" i="1"/>
  <c r="AZ61" i="1"/>
  <c r="AJ61" i="1"/>
  <c r="BO61" i="1"/>
  <c r="AY61" i="1"/>
  <c r="AI61" i="1"/>
  <c r="BN61" i="1"/>
  <c r="AX61" i="1"/>
  <c r="AH61" i="1"/>
  <c r="BM61" i="1"/>
  <c r="AW61" i="1"/>
  <c r="AG61" i="1"/>
  <c r="BL61" i="1"/>
  <c r="AV61" i="1"/>
  <c r="AF61" i="1"/>
  <c r="BK61" i="1"/>
  <c r="AU61" i="1"/>
  <c r="AE61" i="1"/>
  <c r="BJ61" i="1"/>
  <c r="AT61" i="1"/>
  <c r="AD61" i="1"/>
  <c r="BI61" i="1"/>
  <c r="AS61" i="1"/>
  <c r="AC61" i="1"/>
  <c r="BH61" i="1"/>
  <c r="AR61" i="1"/>
  <c r="BF61" i="1"/>
  <c r="AP61" i="1"/>
  <c r="BE61" i="1"/>
  <c r="AO61" i="1"/>
  <c r="AE29" i="1"/>
  <c r="AU29" i="1"/>
  <c r="BK29" i="1"/>
  <c r="AN30" i="1"/>
  <c r="BH30" i="1"/>
  <c r="AO31" i="1"/>
  <c r="BM31" i="1"/>
  <c r="AW32" i="1"/>
  <c r="AI33" i="1"/>
  <c r="BI33" i="1"/>
  <c r="AW34" i="1"/>
  <c r="AL35" i="1"/>
  <c r="BO35" i="1"/>
  <c r="BC36" i="1"/>
  <c r="AQ37" i="1"/>
  <c r="AN38" i="1"/>
  <c r="AY39" i="1"/>
  <c r="BJ40" i="1"/>
  <c r="AK42" i="1"/>
  <c r="AU43" i="1"/>
  <c r="AE45" i="1"/>
  <c r="BC46" i="1"/>
  <c r="BK48" i="1"/>
  <c r="AU50" i="1"/>
  <c r="AE52" i="1"/>
  <c r="BC53" i="1"/>
  <c r="AM55" i="1"/>
  <c r="BK56" i="1"/>
  <c r="AV58" i="1"/>
  <c r="AY60" i="1"/>
  <c r="BJ47" i="1"/>
  <c r="AT47" i="1"/>
  <c r="AD47" i="1"/>
  <c r="BH47" i="1"/>
  <c r="AR47" i="1"/>
  <c r="BG47" i="1"/>
  <c r="AQ47" i="1"/>
  <c r="BF47" i="1"/>
  <c r="AP47" i="1"/>
  <c r="BE47" i="1"/>
  <c r="AO47" i="1"/>
  <c r="BD47" i="1"/>
  <c r="AN47" i="1"/>
  <c r="BC47" i="1"/>
  <c r="AM47" i="1"/>
  <c r="BB47" i="1"/>
  <c r="AL47" i="1"/>
  <c r="BA47" i="1"/>
  <c r="AK47" i="1"/>
  <c r="BP47" i="1"/>
  <c r="AZ47" i="1"/>
  <c r="AJ47" i="1"/>
  <c r="BN47" i="1"/>
  <c r="AX47" i="1"/>
  <c r="AH47" i="1"/>
  <c r="BM47" i="1"/>
  <c r="AW47" i="1"/>
  <c r="AG47" i="1"/>
  <c r="BJ62" i="1"/>
  <c r="AT62" i="1"/>
  <c r="AD62" i="1"/>
  <c r="BI62" i="1"/>
  <c r="AS62" i="1"/>
  <c r="AC62" i="1"/>
  <c r="BH62" i="1"/>
  <c r="AR62" i="1"/>
  <c r="BG62" i="1"/>
  <c r="AQ62" i="1"/>
  <c r="BF62" i="1"/>
  <c r="AP62" i="1"/>
  <c r="BE62" i="1"/>
  <c r="AO62" i="1"/>
  <c r="BD62" i="1"/>
  <c r="AN62" i="1"/>
  <c r="BC62" i="1"/>
  <c r="AM62" i="1"/>
  <c r="BB62" i="1"/>
  <c r="AL62" i="1"/>
  <c r="BA62" i="1"/>
  <c r="AK62" i="1"/>
  <c r="BP62" i="1"/>
  <c r="AZ62" i="1"/>
  <c r="AJ62" i="1"/>
  <c r="BO62" i="1"/>
  <c r="BN62" i="1"/>
  <c r="AX62" i="1"/>
  <c r="AH62" i="1"/>
  <c r="BM62" i="1"/>
  <c r="AW62" i="1"/>
  <c r="AG62" i="1"/>
  <c r="AF29" i="1"/>
  <c r="AV29" i="1"/>
  <c r="BL29" i="1"/>
  <c r="AO30" i="1"/>
  <c r="BI30" i="1"/>
  <c r="AQ31" i="1"/>
  <c r="BO31" i="1"/>
  <c r="AY32" i="1"/>
  <c r="AK33" i="1"/>
  <c r="BK33" i="1"/>
  <c r="AY34" i="1"/>
  <c r="AM35" i="1"/>
  <c r="AC36" i="1"/>
  <c r="BD36" i="1"/>
  <c r="AS37" i="1"/>
  <c r="AQ38" i="1"/>
  <c r="BB39" i="1"/>
  <c r="AC41" i="1"/>
  <c r="AM42" i="1"/>
  <c r="AV43" i="1"/>
  <c r="AF45" i="1"/>
  <c r="BD46" i="1"/>
  <c r="BL48" i="1"/>
  <c r="AV50" i="1"/>
  <c r="AF52" i="1"/>
  <c r="BD53" i="1"/>
  <c r="AN55" i="1"/>
  <c r="BL56" i="1"/>
  <c r="AY58" i="1"/>
  <c r="BK60" i="1"/>
  <c r="BL62" i="1"/>
  <c r="AG29" i="1"/>
  <c r="AW29" i="1"/>
  <c r="BM29" i="1"/>
  <c r="AQ30" i="1"/>
  <c r="BJ30" i="1"/>
  <c r="AS31" i="1"/>
  <c r="AC32" i="1"/>
  <c r="BA32" i="1"/>
  <c r="AL33" i="1"/>
  <c r="BL33" i="1"/>
  <c r="BA34" i="1"/>
  <c r="AO35" i="1"/>
  <c r="AD36" i="1"/>
  <c r="BG36" i="1"/>
  <c r="AU37" i="1"/>
  <c r="AT38" i="1"/>
  <c r="BI39" i="1"/>
  <c r="AE41" i="1"/>
  <c r="AN42" i="1"/>
  <c r="AY43" i="1"/>
  <c r="AI45" i="1"/>
  <c r="BG46" i="1"/>
  <c r="AY50" i="1"/>
  <c r="AI52" i="1"/>
  <c r="BG53" i="1"/>
  <c r="AQ55" i="1"/>
  <c r="BO56" i="1"/>
  <c r="BK58" i="1"/>
  <c r="BL60" i="1"/>
  <c r="AD38" i="1"/>
  <c r="AN53" i="1"/>
  <c r="AH29" i="1"/>
  <c r="AX29" i="1"/>
  <c r="BN29" i="1"/>
  <c r="AR30" i="1"/>
  <c r="BK30" i="1"/>
  <c r="AD32" i="1"/>
  <c r="BC32" i="1"/>
  <c r="AM33" i="1"/>
  <c r="BO33" i="1"/>
  <c r="BC34" i="1"/>
  <c r="AQ35" i="1"/>
  <c r="AE36" i="1"/>
  <c r="BI36" i="1"/>
  <c r="AV37" i="1"/>
  <c r="BA38" i="1"/>
  <c r="BK39" i="1"/>
  <c r="AF41" i="1"/>
  <c r="AQ42" i="1"/>
  <c r="BI43" i="1"/>
  <c r="AS45" i="1"/>
  <c r="AC47" i="1"/>
  <c r="AK49" i="1"/>
  <c r="BI50" i="1"/>
  <c r="AS52" i="1"/>
  <c r="AC54" i="1"/>
  <c r="BA55" i="1"/>
  <c r="AK57" i="1"/>
  <c r="BL58" i="1"/>
  <c r="BO60" i="1"/>
  <c r="BJ31" i="1"/>
  <c r="AT31" i="1"/>
  <c r="AD31" i="1"/>
  <c r="BH31" i="1"/>
  <c r="AR31" i="1"/>
  <c r="BF31" i="1"/>
  <c r="AP31" i="1"/>
  <c r="BP31" i="1"/>
  <c r="AZ31" i="1"/>
  <c r="AJ31" i="1"/>
  <c r="BN31" i="1"/>
  <c r="AX31" i="1"/>
  <c r="AH31" i="1"/>
  <c r="AI29" i="1"/>
  <c r="AY29" i="1"/>
  <c r="BO29" i="1"/>
  <c r="AS30" i="1"/>
  <c r="BL30" i="1"/>
  <c r="AV31" i="1"/>
  <c r="AE32" i="1"/>
  <c r="BD32" i="1"/>
  <c r="AO33" i="1"/>
  <c r="AC34" i="1"/>
  <c r="AG36" i="1"/>
  <c r="BJ36" i="1"/>
  <c r="AY37" i="1"/>
  <c r="BC38" i="1"/>
  <c r="BL39" i="1"/>
  <c r="AI41" i="1"/>
  <c r="AT42" i="1"/>
  <c r="BK43" i="1"/>
  <c r="AU45" i="1"/>
  <c r="AE47" i="1"/>
  <c r="AM49" i="1"/>
  <c r="AU52" i="1"/>
  <c r="AE54" i="1"/>
  <c r="BC55" i="1"/>
  <c r="AM57" i="1"/>
  <c r="AM61" i="1"/>
  <c r="BJ58" i="1"/>
  <c r="AT58" i="1"/>
  <c r="AD58" i="1"/>
  <c r="BI58" i="1"/>
  <c r="AS58" i="1"/>
  <c r="BH58" i="1"/>
  <c r="AR58" i="1"/>
  <c r="BG58" i="1"/>
  <c r="AQ58" i="1"/>
  <c r="BF58" i="1"/>
  <c r="AP58" i="1"/>
  <c r="BE58" i="1"/>
  <c r="AO58" i="1"/>
  <c r="BD58" i="1"/>
  <c r="AN58" i="1"/>
  <c r="BC58" i="1"/>
  <c r="AM58" i="1"/>
  <c r="BB58" i="1"/>
  <c r="AL58" i="1"/>
  <c r="BA58" i="1"/>
  <c r="AK58" i="1"/>
  <c r="BP58" i="1"/>
  <c r="AZ58" i="1"/>
  <c r="AJ58" i="1"/>
  <c r="BN58" i="1"/>
  <c r="AX58" i="1"/>
  <c r="AH58" i="1"/>
  <c r="BM58" i="1"/>
  <c r="AW58" i="1"/>
  <c r="AG58" i="1"/>
  <c r="BB34" i="1"/>
  <c r="AL34" i="1"/>
  <c r="BP34" i="1"/>
  <c r="AZ34" i="1"/>
  <c r="AJ34" i="1"/>
  <c r="BN34" i="1"/>
  <c r="AX34" i="1"/>
  <c r="AH34" i="1"/>
  <c r="BL34" i="1"/>
  <c r="AV34" i="1"/>
  <c r="AF34" i="1"/>
  <c r="BH34" i="1"/>
  <c r="AR34" i="1"/>
  <c r="BF34" i="1"/>
  <c r="AP34" i="1"/>
  <c r="BE34" i="1"/>
  <c r="AO34" i="1"/>
  <c r="BJ35" i="1"/>
  <c r="AT35" i="1"/>
  <c r="AD35" i="1"/>
  <c r="BH35" i="1"/>
  <c r="AR35" i="1"/>
  <c r="BF35" i="1"/>
  <c r="AP35" i="1"/>
  <c r="BD35" i="1"/>
  <c r="AN35" i="1"/>
  <c r="BP35" i="1"/>
  <c r="AZ35" i="1"/>
  <c r="AJ35" i="1"/>
  <c r="BN35" i="1"/>
  <c r="AX35" i="1"/>
  <c r="AH35" i="1"/>
  <c r="BM35" i="1"/>
  <c r="AW35" i="1"/>
  <c r="AG35" i="1"/>
  <c r="BJ50" i="1"/>
  <c r="AT50" i="1"/>
  <c r="AD50" i="1"/>
  <c r="BH50" i="1"/>
  <c r="AR50" i="1"/>
  <c r="BG50" i="1"/>
  <c r="AQ50" i="1"/>
  <c r="BF50" i="1"/>
  <c r="AP50" i="1"/>
  <c r="BE50" i="1"/>
  <c r="AO50" i="1"/>
  <c r="BD50" i="1"/>
  <c r="AN50" i="1"/>
  <c r="BC50" i="1"/>
  <c r="AM50" i="1"/>
  <c r="BB50" i="1"/>
  <c r="AL50" i="1"/>
  <c r="BA50" i="1"/>
  <c r="AK50" i="1"/>
  <c r="BP50" i="1"/>
  <c r="AZ50" i="1"/>
  <c r="AJ50" i="1"/>
  <c r="BN50" i="1"/>
  <c r="AX50" i="1"/>
  <c r="AH50" i="1"/>
  <c r="BM50" i="1"/>
  <c r="AW50" i="1"/>
  <c r="AG50" i="1"/>
  <c r="AJ29" i="1"/>
  <c r="AZ29" i="1"/>
  <c r="BP29" i="1"/>
  <c r="AT30" i="1"/>
  <c r="BM30" i="1"/>
  <c r="AW31" i="1"/>
  <c r="AF32" i="1"/>
  <c r="BE32" i="1"/>
  <c r="AD34" i="1"/>
  <c r="BG34" i="1"/>
  <c r="AU35" i="1"/>
  <c r="AI36" i="1"/>
  <c r="BA37" i="1"/>
  <c r="BD38" i="1"/>
  <c r="AL41" i="1"/>
  <c r="BA42" i="1"/>
  <c r="AV45" i="1"/>
  <c r="AF47" i="1"/>
  <c r="BL50" i="1"/>
  <c r="AV52" i="1"/>
  <c r="AF54" i="1"/>
  <c r="BD55" i="1"/>
  <c r="AN57" i="1"/>
  <c r="AM59" i="1"/>
  <c r="AN61" i="1"/>
  <c r="BJ43" i="1"/>
  <c r="AT43" i="1"/>
  <c r="AD43" i="1"/>
  <c r="BH43" i="1"/>
  <c r="AR43" i="1"/>
  <c r="BG43" i="1"/>
  <c r="AQ43" i="1"/>
  <c r="BF43" i="1"/>
  <c r="AP43" i="1"/>
  <c r="BE43" i="1"/>
  <c r="AO43" i="1"/>
  <c r="BD43" i="1"/>
  <c r="AN43" i="1"/>
  <c r="BC43" i="1"/>
  <c r="AM43" i="1"/>
  <c r="BB43" i="1"/>
  <c r="BA43" i="1"/>
  <c r="AK43" i="1"/>
  <c r="BP43" i="1"/>
  <c r="AZ43" i="1"/>
  <c r="AJ43" i="1"/>
  <c r="BN43" i="1"/>
  <c r="AX43" i="1"/>
  <c r="AH43" i="1"/>
  <c r="BM43" i="1"/>
  <c r="AW43" i="1"/>
  <c r="AG43" i="1"/>
  <c r="BJ33" i="1"/>
  <c r="AT33" i="1"/>
  <c r="AD33" i="1"/>
  <c r="BH33" i="1"/>
  <c r="AR33" i="1"/>
  <c r="BF33" i="1"/>
  <c r="AP33" i="1"/>
  <c r="BD33" i="1"/>
  <c r="AN33" i="1"/>
  <c r="BP33" i="1"/>
  <c r="AZ33" i="1"/>
  <c r="AJ33" i="1"/>
  <c r="BN33" i="1"/>
  <c r="AX33" i="1"/>
  <c r="AH33" i="1"/>
  <c r="BM33" i="1"/>
  <c r="BJ48" i="1"/>
  <c r="AT48" i="1"/>
  <c r="AD48" i="1"/>
  <c r="BH48" i="1"/>
  <c r="AR48" i="1"/>
  <c r="BG48" i="1"/>
  <c r="AQ48" i="1"/>
  <c r="BF48" i="1"/>
  <c r="AP48" i="1"/>
  <c r="BE48" i="1"/>
  <c r="AO48" i="1"/>
  <c r="BD48" i="1"/>
  <c r="AN48" i="1"/>
  <c r="BC48" i="1"/>
  <c r="AM48" i="1"/>
  <c r="BB48" i="1"/>
  <c r="AL48" i="1"/>
  <c r="BA48" i="1"/>
  <c r="AK48" i="1"/>
  <c r="BP48" i="1"/>
  <c r="AZ48" i="1"/>
  <c r="AJ48" i="1"/>
  <c r="BN48" i="1"/>
  <c r="AX48" i="1"/>
  <c r="AH48" i="1"/>
  <c r="BM48" i="1"/>
  <c r="AW48" i="1"/>
  <c r="AG48" i="1"/>
  <c r="BB49" i="1"/>
  <c r="AL49" i="1"/>
  <c r="BP49" i="1"/>
  <c r="AZ49" i="1"/>
  <c r="AJ49" i="1"/>
  <c r="BO49" i="1"/>
  <c r="AY49" i="1"/>
  <c r="AI49" i="1"/>
  <c r="BN49" i="1"/>
  <c r="AX49" i="1"/>
  <c r="AH49" i="1"/>
  <c r="BM49" i="1"/>
  <c r="AW49" i="1"/>
  <c r="AG49" i="1"/>
  <c r="BL49" i="1"/>
  <c r="AV49" i="1"/>
  <c r="AF49" i="1"/>
  <c r="BK49" i="1"/>
  <c r="AU49" i="1"/>
  <c r="AE49" i="1"/>
  <c r="BJ49" i="1"/>
  <c r="AT49" i="1"/>
  <c r="AD49" i="1"/>
  <c r="BI49" i="1"/>
  <c r="AS49" i="1"/>
  <c r="AC49" i="1"/>
  <c r="BH49" i="1"/>
  <c r="AR49" i="1"/>
  <c r="BF49" i="1"/>
  <c r="AP49" i="1"/>
  <c r="BE49" i="1"/>
  <c r="AO49" i="1"/>
  <c r="BB36" i="1"/>
  <c r="AL36" i="1"/>
  <c r="BP36" i="1"/>
  <c r="AZ36" i="1"/>
  <c r="AJ36" i="1"/>
  <c r="BN36" i="1"/>
  <c r="AX36" i="1"/>
  <c r="AH36" i="1"/>
  <c r="BL36" i="1"/>
  <c r="AV36" i="1"/>
  <c r="AF36" i="1"/>
  <c r="BH36" i="1"/>
  <c r="AR36" i="1"/>
  <c r="BF36" i="1"/>
  <c r="AP36" i="1"/>
  <c r="BE36" i="1"/>
  <c r="AO36" i="1"/>
  <c r="BB51" i="1"/>
  <c r="AL51" i="1"/>
  <c r="BP51" i="1"/>
  <c r="AZ51" i="1"/>
  <c r="AJ51" i="1"/>
  <c r="BO51" i="1"/>
  <c r="AY51" i="1"/>
  <c r="AI51" i="1"/>
  <c r="BN51" i="1"/>
  <c r="AX51" i="1"/>
  <c r="AH51" i="1"/>
  <c r="BM51" i="1"/>
  <c r="AW51" i="1"/>
  <c r="AG51" i="1"/>
  <c r="BL51" i="1"/>
  <c r="AV51" i="1"/>
  <c r="AF51" i="1"/>
  <c r="BK51" i="1"/>
  <c r="AU51" i="1"/>
  <c r="AE51" i="1"/>
  <c r="BJ51" i="1"/>
  <c r="AT51" i="1"/>
  <c r="AD51" i="1"/>
  <c r="BI51" i="1"/>
  <c r="AS51" i="1"/>
  <c r="AC51" i="1"/>
  <c r="BH51" i="1"/>
  <c r="AR51" i="1"/>
  <c r="BF51" i="1"/>
  <c r="AP51" i="1"/>
  <c r="BE51" i="1"/>
  <c r="AO51" i="1"/>
  <c r="AK29" i="1"/>
  <c r="BA29" i="1"/>
  <c r="AC30" i="1"/>
  <c r="AU30" i="1"/>
  <c r="BO30" i="1"/>
  <c r="AY31" i="1"/>
  <c r="AG32" i="1"/>
  <c r="AS33" i="1"/>
  <c r="AE34" i="1"/>
  <c r="BI34" i="1"/>
  <c r="AV35" i="1"/>
  <c r="AK36" i="1"/>
  <c r="BM36" i="1"/>
  <c r="AD40" i="1"/>
  <c r="AS41" i="1"/>
  <c r="BC42" i="1"/>
  <c r="BO43" i="1"/>
  <c r="AY45" i="1"/>
  <c r="AI47" i="1"/>
  <c r="AQ49" i="1"/>
  <c r="BO50" i="1"/>
  <c r="AI54" i="1"/>
  <c r="AQ57" i="1"/>
  <c r="AN59" i="1"/>
  <c r="AQ61" i="1"/>
  <c r="BB38" i="1"/>
  <c r="AL38" i="1"/>
  <c r="BP38" i="1"/>
  <c r="AZ38" i="1"/>
  <c r="AJ38" i="1"/>
  <c r="BO38" i="1"/>
  <c r="AY38" i="1"/>
  <c r="AI38" i="1"/>
  <c r="BN38" i="1"/>
  <c r="AX38" i="1"/>
  <c r="AH38" i="1"/>
  <c r="BM38" i="1"/>
  <c r="AW38" i="1"/>
  <c r="AG38" i="1"/>
  <c r="BL38" i="1"/>
  <c r="AV38" i="1"/>
  <c r="AF38" i="1"/>
  <c r="BK38" i="1"/>
  <c r="AU38" i="1"/>
  <c r="AE38" i="1"/>
  <c r="BI38" i="1"/>
  <c r="AS38" i="1"/>
  <c r="AC38" i="1"/>
  <c r="BH38" i="1"/>
  <c r="AR38" i="1"/>
  <c r="BF38" i="1"/>
  <c r="AP38" i="1"/>
  <c r="BE38" i="1"/>
  <c r="AO38" i="1"/>
  <c r="BB32" i="1"/>
  <c r="AL32" i="1"/>
  <c r="BP32" i="1"/>
  <c r="AZ32" i="1"/>
  <c r="AJ32" i="1"/>
  <c r="BN32" i="1"/>
  <c r="AX32" i="1"/>
  <c r="AH32" i="1"/>
  <c r="BL32" i="1"/>
  <c r="AV32" i="1"/>
  <c r="BH32" i="1"/>
  <c r="AR32" i="1"/>
  <c r="BF32" i="1"/>
  <c r="AP32" i="1"/>
  <c r="BJ37" i="1"/>
  <c r="AT37" i="1"/>
  <c r="AD37" i="1"/>
  <c r="BH37" i="1"/>
  <c r="AR37" i="1"/>
  <c r="BF37" i="1"/>
  <c r="AP37" i="1"/>
  <c r="BD37" i="1"/>
  <c r="AN37" i="1"/>
  <c r="BC37" i="1"/>
  <c r="BP37" i="1"/>
  <c r="AZ37" i="1"/>
  <c r="AJ37" i="1"/>
  <c r="BN37" i="1"/>
  <c r="AX37" i="1"/>
  <c r="AH37" i="1"/>
  <c r="BM37" i="1"/>
  <c r="AW37" i="1"/>
  <c r="AG37" i="1"/>
  <c r="BJ52" i="1"/>
  <c r="AT52" i="1"/>
  <c r="AD52" i="1"/>
  <c r="BH52" i="1"/>
  <c r="AR52" i="1"/>
  <c r="BG52" i="1"/>
  <c r="AQ52" i="1"/>
  <c r="BF52" i="1"/>
  <c r="AP52" i="1"/>
  <c r="BE52" i="1"/>
  <c r="AO52" i="1"/>
  <c r="BD52" i="1"/>
  <c r="AN52" i="1"/>
  <c r="BC52" i="1"/>
  <c r="AM52" i="1"/>
  <c r="BB52" i="1"/>
  <c r="AL52" i="1"/>
  <c r="BA52" i="1"/>
  <c r="AK52" i="1"/>
  <c r="BP52" i="1"/>
  <c r="AZ52" i="1"/>
  <c r="AJ52" i="1"/>
  <c r="BN52" i="1"/>
  <c r="AX52" i="1"/>
  <c r="AH52" i="1"/>
  <c r="BM52" i="1"/>
  <c r="AW52" i="1"/>
  <c r="AG52" i="1"/>
  <c r="AL29" i="1"/>
  <c r="BB29" i="1"/>
  <c r="AD30" i="1"/>
  <c r="AV30" i="1"/>
  <c r="AC31" i="1"/>
  <c r="BA31" i="1"/>
  <c r="AI32" i="1"/>
  <c r="BI32" i="1"/>
  <c r="AU33" i="1"/>
  <c r="AG34" i="1"/>
  <c r="BJ34" i="1"/>
  <c r="AY35" i="1"/>
  <c r="AM36" i="1"/>
  <c r="BO36" i="1"/>
  <c r="BE37" i="1"/>
  <c r="BJ38" i="1"/>
  <c r="AK40" i="1"/>
  <c r="AU41" i="1"/>
  <c r="BD42" i="1"/>
  <c r="AK44" i="1"/>
  <c r="BI45" i="1"/>
  <c r="AS47" i="1"/>
  <c r="AC48" i="1"/>
  <c r="BA49" i="1"/>
  <c r="AK51" i="1"/>
  <c r="BI52" i="1"/>
  <c r="AC56" i="1"/>
  <c r="BA57" i="1"/>
  <c r="AQ59" i="1"/>
  <c r="BC61" i="1"/>
  <c r="BC57" i="1"/>
  <c r="BJ39" i="1"/>
  <c r="AT39" i="1"/>
  <c r="AD39" i="1"/>
  <c r="BH39" i="1"/>
  <c r="AR39" i="1"/>
  <c r="BG39" i="1"/>
  <c r="AQ39" i="1"/>
  <c r="BF39" i="1"/>
  <c r="AP39" i="1"/>
  <c r="BE39" i="1"/>
  <c r="AO39" i="1"/>
  <c r="BD39" i="1"/>
  <c r="AN39" i="1"/>
  <c r="BC39" i="1"/>
  <c r="AM39" i="1"/>
  <c r="BA39" i="1"/>
  <c r="AK39" i="1"/>
  <c r="BP39" i="1"/>
  <c r="AZ39" i="1"/>
  <c r="AJ39" i="1"/>
  <c r="BN39" i="1"/>
  <c r="AX39" i="1"/>
  <c r="AH39" i="1"/>
  <c r="BM39" i="1"/>
  <c r="AW39" i="1"/>
  <c r="AG39" i="1"/>
  <c r="BJ54" i="1"/>
  <c r="AT54" i="1"/>
  <c r="AD54" i="1"/>
  <c r="BH54" i="1"/>
  <c r="AR54" i="1"/>
  <c r="BG54" i="1"/>
  <c r="AQ54" i="1"/>
  <c r="BF54" i="1"/>
  <c r="AP54" i="1"/>
  <c r="BE54" i="1"/>
  <c r="AO54" i="1"/>
  <c r="BD54" i="1"/>
  <c r="AN54" i="1"/>
  <c r="BC54" i="1"/>
  <c r="AM54" i="1"/>
  <c r="BB54" i="1"/>
  <c r="AL54" i="1"/>
  <c r="BA54" i="1"/>
  <c r="AK54" i="1"/>
  <c r="BP54" i="1"/>
  <c r="AZ54" i="1"/>
  <c r="AJ54" i="1"/>
  <c r="BN54" i="1"/>
  <c r="AX54" i="1"/>
  <c r="AH54" i="1"/>
  <c r="BM54" i="1"/>
  <c r="AW54" i="1"/>
  <c r="AG54" i="1"/>
  <c r="AN29" i="1"/>
  <c r="BD29" i="1"/>
  <c r="AF30" i="1"/>
  <c r="AX30" i="1"/>
  <c r="AF31" i="1"/>
  <c r="BC31" i="1"/>
  <c r="AM32" i="1"/>
  <c r="BK32" i="1"/>
  <c r="AW33" i="1"/>
  <c r="AK34" i="1"/>
  <c r="BM34" i="1"/>
  <c r="BB35" i="1"/>
  <c r="AQ36" i="1"/>
  <c r="AE37" i="1"/>
  <c r="BI37" i="1"/>
  <c r="AE39" i="1"/>
  <c r="AY41" i="1"/>
  <c r="BJ42" i="1"/>
  <c r="AN44" i="1"/>
  <c r="BL45" i="1"/>
  <c r="AV47" i="1"/>
  <c r="AF48" i="1"/>
  <c r="BD49" i="1"/>
  <c r="AN51" i="1"/>
  <c r="BL52" i="1"/>
  <c r="AV54" i="1"/>
  <c r="AF56" i="1"/>
  <c r="BD57" i="1"/>
  <c r="BD59" i="1"/>
  <c r="BG61" i="1"/>
  <c r="BB40" i="1"/>
  <c r="AL40" i="1"/>
  <c r="BP40" i="1"/>
  <c r="AZ40" i="1"/>
  <c r="AJ40" i="1"/>
  <c r="BO40" i="1"/>
  <c r="AY40" i="1"/>
  <c r="AI40" i="1"/>
  <c r="BN40" i="1"/>
  <c r="AX40" i="1"/>
  <c r="AH40" i="1"/>
  <c r="BM40" i="1"/>
  <c r="AW40" i="1"/>
  <c r="AG40" i="1"/>
  <c r="BL40" i="1"/>
  <c r="AV40" i="1"/>
  <c r="AF40" i="1"/>
  <c r="BK40" i="1"/>
  <c r="AU40" i="1"/>
  <c r="AE40" i="1"/>
  <c r="BI40" i="1"/>
  <c r="AS40" i="1"/>
  <c r="AC40" i="1"/>
  <c r="BH40" i="1"/>
  <c r="AR40" i="1"/>
  <c r="BF40" i="1"/>
  <c r="AP40" i="1"/>
  <c r="BE40" i="1"/>
  <c r="AO40" i="1"/>
  <c r="BB55" i="1"/>
  <c r="AL55" i="1"/>
  <c r="BP55" i="1"/>
  <c r="AZ55" i="1"/>
  <c r="AJ55" i="1"/>
  <c r="BO55" i="1"/>
  <c r="AY55" i="1"/>
  <c r="AI55" i="1"/>
  <c r="BN55" i="1"/>
  <c r="AX55" i="1"/>
  <c r="AH55" i="1"/>
  <c r="BM55" i="1"/>
  <c r="AW55" i="1"/>
  <c r="AG55" i="1"/>
  <c r="BL55" i="1"/>
  <c r="AV55" i="1"/>
  <c r="AF55" i="1"/>
  <c r="BK55" i="1"/>
  <c r="AU55" i="1"/>
  <c r="AE55" i="1"/>
  <c r="BJ55" i="1"/>
  <c r="AT55" i="1"/>
  <c r="AD55" i="1"/>
  <c r="BI55" i="1"/>
  <c r="AS55" i="1"/>
  <c r="AC55" i="1"/>
  <c r="BH55" i="1"/>
  <c r="AR55" i="1"/>
  <c r="BF55" i="1"/>
  <c r="AP55" i="1"/>
  <c r="BE55" i="1"/>
  <c r="AO55" i="1"/>
  <c r="AO29" i="1"/>
  <c r="BE29" i="1"/>
  <c r="AG30" i="1"/>
  <c r="AY30" i="1"/>
  <c r="AG31" i="1"/>
  <c r="BD31" i="1"/>
  <c r="AN32" i="1"/>
  <c r="BM32" i="1"/>
  <c r="AY33" i="1"/>
  <c r="AM34" i="1"/>
  <c r="BO34" i="1"/>
  <c r="BC35" i="1"/>
  <c r="AS36" i="1"/>
  <c r="AF37" i="1"/>
  <c r="BK37" i="1"/>
  <c r="AF39" i="1"/>
  <c r="AQ40" i="1"/>
  <c r="AC43" i="1"/>
  <c r="AQ44" i="1"/>
  <c r="BO45" i="1"/>
  <c r="AY47" i="1"/>
  <c r="AI48" i="1"/>
  <c r="BG49" i="1"/>
  <c r="AQ51" i="1"/>
  <c r="BO52" i="1"/>
  <c r="AY54" i="1"/>
  <c r="BG57" i="1"/>
  <c r="BG59" i="1"/>
  <c r="AE62" i="1"/>
  <c r="BJ41" i="1"/>
  <c r="AT41" i="1"/>
  <c r="AD41" i="1"/>
  <c r="BH41" i="1"/>
  <c r="AR41" i="1"/>
  <c r="BG41" i="1"/>
  <c r="AQ41" i="1"/>
  <c r="BF41" i="1"/>
  <c r="AP41" i="1"/>
  <c r="BE41" i="1"/>
  <c r="AO41" i="1"/>
  <c r="BD41" i="1"/>
  <c r="AN41" i="1"/>
  <c r="BC41" i="1"/>
  <c r="AM41" i="1"/>
  <c r="BA41" i="1"/>
  <c r="AK41" i="1"/>
  <c r="BP41" i="1"/>
  <c r="AZ41" i="1"/>
  <c r="AJ41" i="1"/>
  <c r="BN41" i="1"/>
  <c r="AX41" i="1"/>
  <c r="AH41" i="1"/>
  <c r="BM41" i="1"/>
  <c r="AW41" i="1"/>
  <c r="AG41" i="1"/>
  <c r="BJ56" i="1"/>
  <c r="AT56" i="1"/>
  <c r="AD56" i="1"/>
  <c r="BH56" i="1"/>
  <c r="AR56" i="1"/>
  <c r="BG56" i="1"/>
  <c r="AQ56" i="1"/>
  <c r="BF56" i="1"/>
  <c r="AP56" i="1"/>
  <c r="BE56" i="1"/>
  <c r="AO56" i="1"/>
  <c r="BD56" i="1"/>
  <c r="AN56" i="1"/>
  <c r="BC56" i="1"/>
  <c r="AM56" i="1"/>
  <c r="BB56" i="1"/>
  <c r="AL56" i="1"/>
  <c r="BA56" i="1"/>
  <c r="AK56" i="1"/>
  <c r="BP56" i="1"/>
  <c r="AZ56" i="1"/>
  <c r="AJ56" i="1"/>
  <c r="BN56" i="1"/>
  <c r="AX56" i="1"/>
  <c r="AH56" i="1"/>
  <c r="BM56" i="1"/>
  <c r="AW56" i="1"/>
  <c r="AG56" i="1"/>
  <c r="AP29" i="1"/>
  <c r="AH30" i="1"/>
  <c r="BA30" i="1"/>
  <c r="AI31" i="1"/>
  <c r="BE31" i="1"/>
  <c r="AO32" i="1"/>
  <c r="BO32" i="1"/>
  <c r="BA33" i="1"/>
  <c r="AN34" i="1"/>
  <c r="AC35" i="1"/>
  <c r="BE35" i="1"/>
  <c r="AT36" i="1"/>
  <c r="AI37" i="1"/>
  <c r="BL37" i="1"/>
  <c r="AI39" i="1"/>
  <c r="AT40" i="1"/>
  <c r="BI41" i="1"/>
  <c r="AE43" i="1"/>
  <c r="BA44" i="1"/>
  <c r="AK46" i="1"/>
  <c r="BI47" i="1"/>
  <c r="AS48" i="1"/>
  <c r="AC50" i="1"/>
  <c r="BA51" i="1"/>
  <c r="AK53" i="1"/>
  <c r="BI54" i="1"/>
  <c r="AS56" i="1"/>
  <c r="AC58" i="1"/>
  <c r="AE60" i="1"/>
  <c r="AF62" i="1"/>
  <c r="BP24" i="1"/>
  <c r="BC25" i="1"/>
  <c r="BD25" i="1"/>
  <c r="BF25" i="1"/>
  <c r="AC24" i="1"/>
  <c r="AS26" i="1"/>
  <c r="AD24" i="1"/>
  <c r="AT26" i="1"/>
  <c r="AE24" i="1"/>
  <c r="AV26" i="1"/>
  <c r="BC23" i="1"/>
  <c r="AD26" i="1"/>
  <c r="AO24" i="1"/>
  <c r="AW26" i="1"/>
  <c r="BG23" i="1"/>
  <c r="AS24" i="1"/>
  <c r="BB26" i="1"/>
  <c r="AY24" i="1"/>
  <c r="BP26" i="1"/>
  <c r="AZ24" i="1"/>
  <c r="AG27" i="1"/>
  <c r="AO18" i="1"/>
  <c r="BE24" i="1"/>
  <c r="AY27" i="1"/>
  <c r="BH18" i="1"/>
  <c r="BF24" i="1"/>
  <c r="BI18" i="1"/>
  <c r="BJ24" i="1"/>
  <c r="AG23" i="1"/>
  <c r="BO24" i="1"/>
  <c r="AW19" i="1"/>
  <c r="AE26" i="1"/>
  <c r="BE26" i="1"/>
  <c r="AZ19" i="1"/>
  <c r="AI25" i="1"/>
  <c r="AF26" i="1"/>
  <c r="BF26" i="1"/>
  <c r="AP19" i="1"/>
  <c r="AI26" i="1"/>
  <c r="BC19" i="1"/>
  <c r="AK25" i="1"/>
  <c r="AJ26" i="1"/>
  <c r="BH26" i="1"/>
  <c r="BO19" i="1"/>
  <c r="AF24" i="1"/>
  <c r="AL25" i="1"/>
  <c r="AK26" i="1"/>
  <c r="BJ26" i="1"/>
  <c r="AI19" i="1"/>
  <c r="BA19" i="1"/>
  <c r="AJ25" i="1"/>
  <c r="BG26" i="1"/>
  <c r="BP19" i="1"/>
  <c r="AQ25" i="1"/>
  <c r="AL26" i="1"/>
  <c r="BK26" i="1"/>
  <c r="AC18" i="1"/>
  <c r="AU22" i="1"/>
  <c r="AP24" i="1"/>
  <c r="AR25" i="1"/>
  <c r="AO26" i="1"/>
  <c r="BL26" i="1"/>
  <c r="AX22" i="1"/>
  <c r="AX25" i="1"/>
  <c r="AP26" i="1"/>
  <c r="BN26" i="1"/>
  <c r="BE18" i="1"/>
  <c r="BN22" i="1"/>
  <c r="AT24" i="1"/>
  <c r="AY25" i="1"/>
  <c r="AR26" i="1"/>
  <c r="BO26" i="1"/>
  <c r="AG19" i="1"/>
  <c r="BG25" i="1"/>
  <c r="AJ19" i="1"/>
  <c r="AW23" i="1"/>
  <c r="BN25" i="1"/>
  <c r="AX26" i="1"/>
  <c r="AM19" i="1"/>
  <c r="BB23" i="1"/>
  <c r="BK24" i="1"/>
  <c r="BO25" i="1"/>
  <c r="BA26" i="1"/>
  <c r="AU20" i="1"/>
  <c r="AX20" i="1"/>
  <c r="BE22" i="1"/>
  <c r="AI27" i="1"/>
  <c r="BA27" i="1"/>
  <c r="BB27" i="1"/>
  <c r="AE20" i="1"/>
  <c r="AZ20" i="1"/>
  <c r="AW21" i="1"/>
  <c r="BH22" i="1"/>
  <c r="AY23" i="1"/>
  <c r="AH24" i="1"/>
  <c r="BG24" i="1"/>
  <c r="AM25" i="1"/>
  <c r="BH25" i="1"/>
  <c r="AK27" i="1"/>
  <c r="BC27" i="1"/>
  <c r="AY20" i="1"/>
  <c r="AJ27" i="1"/>
  <c r="AZ21" i="1"/>
  <c r="AI24" i="1"/>
  <c r="AN25" i="1"/>
  <c r="BI25" i="1"/>
  <c r="AL27" i="1"/>
  <c r="BD27" i="1"/>
  <c r="AV20" i="1"/>
  <c r="AG21" i="1"/>
  <c r="AH27" i="1"/>
  <c r="AZ27" i="1"/>
  <c r="AC20" i="1"/>
  <c r="AJ21" i="1"/>
  <c r="AD20" i="1"/>
  <c r="AK21" i="1"/>
  <c r="BG22" i="1"/>
  <c r="AX23" i="1"/>
  <c r="AF20" i="1"/>
  <c r="BA20" i="1"/>
  <c r="BI22" i="1"/>
  <c r="AZ23" i="1"/>
  <c r="BH24" i="1"/>
  <c r="AK19" i="1"/>
  <c r="AH20" i="1"/>
  <c r="BE20" i="1"/>
  <c r="BA21" i="1"/>
  <c r="BK22" i="1"/>
  <c r="BA23" i="1"/>
  <c r="AJ24" i="1"/>
  <c r="BI24" i="1"/>
  <c r="AP25" i="1"/>
  <c r="BM25" i="1"/>
  <c r="AQ26" i="1"/>
  <c r="BI26" i="1"/>
  <c r="AM27" i="1"/>
  <c r="BE27" i="1"/>
  <c r="AN27" i="1"/>
  <c r="BF27" i="1"/>
  <c r="AJ20" i="1"/>
  <c r="BG20" i="1"/>
  <c r="BP21" i="1"/>
  <c r="AO27" i="1"/>
  <c r="BG27" i="1"/>
  <c r="AK20" i="1"/>
  <c r="BH20" i="1"/>
  <c r="AC22" i="1"/>
  <c r="AH23" i="1"/>
  <c r="BD23" i="1"/>
  <c r="AQ24" i="1"/>
  <c r="BL24" i="1"/>
  <c r="AS25" i="1"/>
  <c r="BP25" i="1"/>
  <c r="AP27" i="1"/>
  <c r="BH27" i="1"/>
  <c r="AY19" i="1"/>
  <c r="AO20" i="1"/>
  <c r="BI20" i="1"/>
  <c r="AE22" i="1"/>
  <c r="AI23" i="1"/>
  <c r="BF23" i="1"/>
  <c r="AR24" i="1"/>
  <c r="BN24" i="1"/>
  <c r="AW25" i="1"/>
  <c r="AC26" i="1"/>
  <c r="AU26" i="1"/>
  <c r="BM26" i="1"/>
  <c r="AQ27" i="1"/>
  <c r="BI27" i="1"/>
  <c r="BP20" i="1"/>
  <c r="AR27" i="1"/>
  <c r="BK20" i="1"/>
  <c r="AS27" i="1"/>
  <c r="AR20" i="1"/>
  <c r="AL23" i="1"/>
  <c r="AT27" i="1"/>
  <c r="BN27" i="1"/>
  <c r="AR18" i="1"/>
  <c r="BF19" i="1"/>
  <c r="AS20" i="1"/>
  <c r="BN20" i="1"/>
  <c r="AR22" i="1"/>
  <c r="AM23" i="1"/>
  <c r="BO23" i="1"/>
  <c r="AV24" i="1"/>
  <c r="AG25" i="1"/>
  <c r="BA25" i="1"/>
  <c r="AG26" i="1"/>
  <c r="AY26" i="1"/>
  <c r="AC27" i="1"/>
  <c r="AW27" i="1"/>
  <c r="BO27" i="1"/>
  <c r="AI20" i="1"/>
  <c r="BF20" i="1"/>
  <c r="BM21" i="1"/>
  <c r="AP20" i="1"/>
  <c r="BJ20" i="1"/>
  <c r="AH22" i="1"/>
  <c r="BJ27" i="1"/>
  <c r="AQ20" i="1"/>
  <c r="AO22" i="1"/>
  <c r="AK23" i="1"/>
  <c r="BM23" i="1"/>
  <c r="BM27" i="1"/>
  <c r="BL20" i="1"/>
  <c r="AQ22" i="1"/>
  <c r="BN23" i="1"/>
  <c r="AU24" i="1"/>
  <c r="AC25" i="1"/>
  <c r="AZ25" i="1"/>
  <c r="AS18" i="1"/>
  <c r="BM19" i="1"/>
  <c r="AT20" i="1"/>
  <c r="BO20" i="1"/>
  <c r="AS22" i="1"/>
  <c r="AN23" i="1"/>
  <c r="BP23" i="1"/>
  <c r="AX24" i="1"/>
  <c r="AH25" i="1"/>
  <c r="BB25" i="1"/>
  <c r="AH26" i="1"/>
  <c r="AZ26" i="1"/>
  <c r="AD27" i="1"/>
  <c r="AX27" i="1"/>
  <c r="BP27" i="1"/>
  <c r="AE28" i="1"/>
  <c r="AU28" i="1"/>
  <c r="BK28" i="1"/>
  <c r="AF18" i="1"/>
  <c r="AV18" i="1"/>
  <c r="BL18" i="1"/>
  <c r="AN19" i="1"/>
  <c r="BD19" i="1"/>
  <c r="AN21" i="1"/>
  <c r="BD21" i="1"/>
  <c r="AF22" i="1"/>
  <c r="AV22" i="1"/>
  <c r="BL22" i="1"/>
  <c r="AF28" i="1"/>
  <c r="AV28" i="1"/>
  <c r="BL28" i="1"/>
  <c r="AG18" i="1"/>
  <c r="AW18" i="1"/>
  <c r="BM18" i="1"/>
  <c r="AO19" i="1"/>
  <c r="BE19" i="1"/>
  <c r="AG20" i="1"/>
  <c r="AW20" i="1"/>
  <c r="BM20" i="1"/>
  <c r="AO21" i="1"/>
  <c r="BE21" i="1"/>
  <c r="AG22" i="1"/>
  <c r="AW22" i="1"/>
  <c r="BM22" i="1"/>
  <c r="AO23" i="1"/>
  <c r="BE23" i="1"/>
  <c r="AG24" i="1"/>
  <c r="AW24" i="1"/>
  <c r="BM24" i="1"/>
  <c r="AO25" i="1"/>
  <c r="BE25" i="1"/>
  <c r="AG28" i="1"/>
  <c r="AW28" i="1"/>
  <c r="BM28" i="1"/>
  <c r="AE18" i="1"/>
  <c r="AM21" i="1"/>
  <c r="BN18" i="1"/>
  <c r="AR28" i="1"/>
  <c r="AH28" i="1"/>
  <c r="BG21" i="1"/>
  <c r="AU18" i="1"/>
  <c r="AX18" i="1"/>
  <c r="AX28" i="1"/>
  <c r="BN28" i="1"/>
  <c r="AI18" i="1"/>
  <c r="AQ19" i="1"/>
  <c r="AI22" i="1"/>
  <c r="BO22" i="1"/>
  <c r="AI28" i="1"/>
  <c r="AY28" i="1"/>
  <c r="BO28" i="1"/>
  <c r="AJ18" i="1"/>
  <c r="BP18" i="1"/>
  <c r="AR19" i="1"/>
  <c r="BH19" i="1"/>
  <c r="BH21" i="1"/>
  <c r="AJ28" i="1"/>
  <c r="BP28" i="1"/>
  <c r="AC21" i="1"/>
  <c r="BI21" i="1"/>
  <c r="BA22" i="1"/>
  <c r="AK24" i="1"/>
  <c r="BA28" i="1"/>
  <c r="AD19" i="1"/>
  <c r="AL20" i="1"/>
  <c r="AT21" i="1"/>
  <c r="BB22" i="1"/>
  <c r="BJ23" i="1"/>
  <c r="AL24" i="1"/>
  <c r="AD25" i="1"/>
  <c r="AT25" i="1"/>
  <c r="BJ25" i="1"/>
  <c r="AM18" i="1"/>
  <c r="BC18" i="1"/>
  <c r="AE19" i="1"/>
  <c r="AU19" i="1"/>
  <c r="BK19" i="1"/>
  <c r="AM20" i="1"/>
  <c r="BC20" i="1"/>
  <c r="AE21" i="1"/>
  <c r="AU21" i="1"/>
  <c r="BK21" i="1"/>
  <c r="AM22" i="1"/>
  <c r="BC22" i="1"/>
  <c r="AE23" i="1"/>
  <c r="AU23" i="1"/>
  <c r="BK23" i="1"/>
  <c r="AM24" i="1"/>
  <c r="BC24" i="1"/>
  <c r="AE25" i="1"/>
  <c r="AU25" i="1"/>
  <c r="BK25" i="1"/>
  <c r="AM26" i="1"/>
  <c r="BC26" i="1"/>
  <c r="AE27" i="1"/>
  <c r="AU27" i="1"/>
  <c r="BK27" i="1"/>
  <c r="AM28" i="1"/>
  <c r="BC28" i="1"/>
  <c r="BK18" i="1"/>
  <c r="AH18" i="1"/>
  <c r="AP21" i="1"/>
  <c r="BF21" i="1"/>
  <c r="AY18" i="1"/>
  <c r="BO18" i="1"/>
  <c r="BG19" i="1"/>
  <c r="AQ21" i="1"/>
  <c r="AY22" i="1"/>
  <c r="AZ18" i="1"/>
  <c r="AR21" i="1"/>
  <c r="AJ22" i="1"/>
  <c r="AZ22" i="1"/>
  <c r="BP22" i="1"/>
  <c r="AR23" i="1"/>
  <c r="BH23" i="1"/>
  <c r="AZ28" i="1"/>
  <c r="AK18" i="1"/>
  <c r="BA18" i="1"/>
  <c r="AC19" i="1"/>
  <c r="AS19" i="1"/>
  <c r="BI19" i="1"/>
  <c r="AS21" i="1"/>
  <c r="AK22" i="1"/>
  <c r="AC23" i="1"/>
  <c r="AS23" i="1"/>
  <c r="BI23" i="1"/>
  <c r="BA24" i="1"/>
  <c r="AK28" i="1"/>
  <c r="AL18" i="1"/>
  <c r="BB18" i="1"/>
  <c r="AT19" i="1"/>
  <c r="BJ19" i="1"/>
  <c r="BB20" i="1"/>
  <c r="AD21" i="1"/>
  <c r="BJ21" i="1"/>
  <c r="AL22" i="1"/>
  <c r="AD23" i="1"/>
  <c r="AT23" i="1"/>
  <c r="BB24" i="1"/>
  <c r="AL28" i="1"/>
  <c r="BB28" i="1"/>
  <c r="AN18" i="1"/>
  <c r="BD18" i="1"/>
  <c r="AF19" i="1"/>
  <c r="AV19" i="1"/>
  <c r="BL19" i="1"/>
  <c r="AN20" i="1"/>
  <c r="AF21" i="1"/>
  <c r="AV21" i="1"/>
  <c r="BL21" i="1"/>
  <c r="AN22" i="1"/>
  <c r="BD22" i="1"/>
  <c r="AF23" i="1"/>
  <c r="AV23" i="1"/>
  <c r="AN24" i="1"/>
  <c r="AF25" i="1"/>
  <c r="AV25" i="1"/>
  <c r="AN26" i="1"/>
  <c r="AF27" i="1"/>
  <c r="AV27" i="1"/>
  <c r="AN28" i="1"/>
  <c r="BD28" i="1"/>
  <c r="AO28" i="1"/>
  <c r="BE28" i="1"/>
  <c r="AP18" i="1"/>
  <c r="BF18" i="1"/>
  <c r="AH19" i="1"/>
  <c r="AX19" i="1"/>
  <c r="BN19" i="1"/>
  <c r="AH21" i="1"/>
  <c r="AX21" i="1"/>
  <c r="BN21" i="1"/>
  <c r="AP22" i="1"/>
  <c r="BF22" i="1"/>
  <c r="AP28" i="1"/>
  <c r="BF28" i="1"/>
  <c r="AQ18" i="1"/>
  <c r="BG18" i="1"/>
  <c r="AI21" i="1"/>
  <c r="AY21" i="1"/>
  <c r="BO21" i="1"/>
  <c r="AQ28" i="1"/>
  <c r="BG28" i="1"/>
  <c r="BH28" i="1"/>
  <c r="AC28" i="1"/>
  <c r="AS28" i="1"/>
  <c r="BI28" i="1"/>
  <c r="AD18" i="1"/>
  <c r="AT18" i="1"/>
  <c r="AL19" i="1"/>
  <c r="AL21" i="1"/>
  <c r="BB21" i="1"/>
  <c r="AD22" i="1"/>
  <c r="AT22" i="1"/>
  <c r="AD28" i="1"/>
  <c r="AT2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18" i="1"/>
  <c r="R67" i="1" l="1"/>
  <c r="V47" i="1"/>
  <c r="W47" i="1" s="1"/>
  <c r="V43" i="1"/>
  <c r="W43" i="1" s="1"/>
  <c r="O64" i="1"/>
  <c r="Q64" i="1" s="1"/>
  <c r="B82" i="1" s="1"/>
  <c r="O65" i="1"/>
  <c r="Q65" i="1" s="1"/>
  <c r="B81" i="1" s="1"/>
  <c r="O72" i="1"/>
  <c r="Q72" i="1" s="1"/>
  <c r="O74" i="1"/>
  <c r="Q74" i="1" s="1"/>
  <c r="P64" i="1"/>
  <c r="O62" i="1"/>
  <c r="O48" i="1"/>
  <c r="O23" i="1"/>
  <c r="O31" i="1"/>
  <c r="O21" i="1"/>
  <c r="O25" i="1"/>
  <c r="O20" i="1"/>
  <c r="O43" i="1"/>
  <c r="O30" i="1"/>
  <c r="O27" i="1"/>
  <c r="O58" i="1"/>
  <c r="Q58" i="1" s="1"/>
  <c r="O32" i="1"/>
  <c r="O44" i="1"/>
  <c r="O52" i="1"/>
  <c r="Q52" i="1" s="1"/>
  <c r="O29" i="1"/>
  <c r="O19" i="1"/>
  <c r="O35" i="1"/>
  <c r="O38" i="1"/>
  <c r="O34" i="1"/>
  <c r="O47" i="1"/>
  <c r="Q47" i="1" s="1"/>
  <c r="O28" i="1"/>
  <c r="O56" i="1"/>
  <c r="Q56" i="1" s="1"/>
  <c r="O60" i="1"/>
  <c r="O45" i="1"/>
  <c r="O18" i="1"/>
  <c r="O50" i="1"/>
  <c r="Q50" i="1" s="1"/>
  <c r="O40" i="1"/>
  <c r="O41" i="1"/>
  <c r="O39" i="1"/>
  <c r="O37" i="1"/>
  <c r="O59" i="1"/>
  <c r="O51" i="1"/>
  <c r="Q51" i="1" s="1"/>
  <c r="O26" i="1"/>
  <c r="O24" i="1"/>
  <c r="O49" i="1"/>
  <c r="O57" i="1"/>
  <c r="Q57" i="1" s="1"/>
  <c r="O42" i="1"/>
  <c r="O36" i="1"/>
  <c r="O46" i="1"/>
  <c r="O22" i="1"/>
  <c r="O53" i="1"/>
  <c r="Q53" i="1" s="1"/>
  <c r="O33" i="1"/>
  <c r="O61" i="1"/>
  <c r="O55" i="1"/>
  <c r="Q55" i="1" s="1"/>
  <c r="O54" i="1"/>
  <c r="Q54" i="1" s="1"/>
  <c r="N20" i="1"/>
  <c r="N21" i="1"/>
  <c r="N22" i="1"/>
  <c r="N23" i="1"/>
  <c r="N24" i="1"/>
  <c r="N25" i="1"/>
  <c r="N26" i="1"/>
  <c r="N27" i="1"/>
  <c r="N28" i="1"/>
  <c r="N29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59" i="1"/>
  <c r="N60" i="1"/>
  <c r="N61" i="1"/>
  <c r="N62" i="1"/>
  <c r="R74" i="1" l="1"/>
  <c r="R72" i="1"/>
  <c r="R65" i="1"/>
  <c r="C81" i="1" s="1"/>
  <c r="R64" i="1"/>
  <c r="C82" i="1" s="1"/>
  <c r="Q62" i="1"/>
  <c r="B84" i="1" s="1"/>
  <c r="Q40" i="1"/>
  <c r="Q42" i="1"/>
  <c r="Q21" i="1"/>
  <c r="Q31" i="1"/>
  <c r="Q32" i="1"/>
  <c r="Q38" i="1"/>
  <c r="Q37" i="1"/>
  <c r="Q45" i="1"/>
  <c r="Q43" i="1"/>
  <c r="Q29" i="1"/>
  <c r="B92" i="1" s="1"/>
  <c r="Q25" i="1"/>
  <c r="B95" i="1" s="1"/>
  <c r="Q41" i="1"/>
  <c r="Q22" i="1"/>
  <c r="B97" i="1" s="1"/>
  <c r="Q19" i="1"/>
  <c r="Q33" i="1"/>
  <c r="Q20" i="1"/>
  <c r="B88" i="1" s="1"/>
  <c r="Q60" i="1"/>
  <c r="B85" i="1" s="1"/>
  <c r="Q44" i="1"/>
  <c r="Q61" i="1"/>
  <c r="B86" i="1" s="1"/>
  <c r="Q46" i="1"/>
  <c r="Q18" i="1"/>
  <c r="Q27" i="1"/>
  <c r="B96" i="1" s="1"/>
  <c r="Q34" i="1"/>
  <c r="Q49" i="1"/>
  <c r="Q35" i="1"/>
  <c r="Q30" i="1"/>
  <c r="Q26" i="1"/>
  <c r="B94" i="1" s="1"/>
  <c r="Q39" i="1"/>
  <c r="Q36" i="1"/>
  <c r="Q24" i="1"/>
  <c r="B90" i="1" s="1"/>
  <c r="Q28" i="1"/>
  <c r="B91" i="1" s="1"/>
  <c r="Q59" i="1"/>
  <c r="B83" i="1" s="1"/>
  <c r="Q23" i="1"/>
  <c r="B89" i="1" s="1"/>
  <c r="Q48" i="1"/>
  <c r="D14" i="2"/>
  <c r="B10" i="2" l="1"/>
  <c r="R55" i="1"/>
  <c r="R57" i="1"/>
  <c r="R32" i="1"/>
  <c r="R46" i="1"/>
  <c r="R54" i="1"/>
  <c r="R53" i="1"/>
  <c r="R49" i="1"/>
  <c r="R39" i="1"/>
  <c r="R51" i="1"/>
  <c r="R47" i="1"/>
  <c r="R36" i="1"/>
  <c r="R38" i="1"/>
  <c r="R52" i="1"/>
  <c r="R56" i="1"/>
  <c r="R35" i="1"/>
  <c r="R18" i="1"/>
  <c r="R29" i="1"/>
  <c r="C92" i="1" s="1"/>
  <c r="R30" i="1"/>
  <c r="R40" i="1"/>
  <c r="R61" i="1"/>
  <c r="C86" i="1" s="1"/>
  <c r="R42" i="1"/>
  <c r="R26" i="1"/>
  <c r="C94" i="1" s="1"/>
  <c r="R59" i="1"/>
  <c r="C83" i="1" s="1"/>
  <c r="R25" i="1"/>
  <c r="C95" i="1" s="1"/>
  <c r="R31" i="1"/>
  <c r="R28" i="1"/>
  <c r="C91" i="1" s="1"/>
  <c r="R33" i="1"/>
  <c r="R60" i="1"/>
  <c r="C85" i="1" s="1"/>
  <c r="R22" i="1"/>
  <c r="C97" i="1" s="1"/>
  <c r="R24" i="1"/>
  <c r="C90" i="1" s="1"/>
  <c r="R27" i="1"/>
  <c r="C96" i="1" s="1"/>
  <c r="R37" i="1"/>
  <c r="R21" i="1"/>
  <c r="R50" i="1"/>
  <c r="R58" i="1"/>
  <c r="R44" i="1"/>
  <c r="R45" i="1"/>
  <c r="R43" i="1"/>
  <c r="R62" i="1"/>
  <c r="C84" i="1" s="1"/>
  <c r="R23" i="1"/>
  <c r="C89" i="1" s="1"/>
  <c r="R20" i="1"/>
  <c r="C88" i="1" s="1"/>
  <c r="R19" i="1"/>
  <c r="R34" i="1"/>
  <c r="R41" i="1"/>
  <c r="R48" i="1"/>
  <c r="B6" i="2"/>
  <c r="B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Sigurd Lauge Pedersen</author>
  </authors>
  <commentList>
    <comment ref="E1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ERAA23_Entsoe</t>
        </r>
      </text>
    </comment>
    <comment ref="F1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ERAA23_Entsoe</t>
        </r>
      </text>
    </comment>
    <comment ref="G14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ERAA23_Entsoe</t>
        </r>
      </text>
    </comment>
    <comment ref="H1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ERAA23_Entsoe</t>
        </r>
      </text>
    </comment>
    <comment ref="I1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ERAA23_Entsoe</t>
        </r>
      </text>
    </comment>
    <comment ref="J14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ERAA23_Entsoe</t>
        </r>
      </text>
    </comment>
    <comment ref="K14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ERAA23_Entsoe</t>
        </r>
      </text>
    </comment>
    <comment ref="L1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ERAA23_Entsoe</t>
        </r>
      </text>
    </comment>
    <comment ref="M14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ERAA23_Entsoe</t>
        </r>
      </text>
    </comment>
    <comment ref="N14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ERAA23_Entsoe</t>
        </r>
      </text>
    </comment>
    <comment ref="O14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ERAA23_Entsoe</t>
        </r>
      </text>
    </comment>
    <comment ref="P1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ERAA23_Entsoe</t>
        </r>
      </text>
    </comment>
    <comment ref="Q14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ERAA23_Entsoe</t>
        </r>
      </text>
    </comment>
    <comment ref="V14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ERAA 2023</t>
        </r>
      </text>
    </comment>
    <comment ref="E20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Guesstimate.</t>
        </r>
      </text>
    </comment>
    <comment ref="F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Guesstimate.</t>
        </r>
      </text>
    </comment>
    <comment ref="G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Guesstimate.</t>
        </r>
      </text>
    </comment>
    <comment ref="H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Guesstimate.</t>
        </r>
      </text>
    </comment>
    <comment ref="I20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Guesstimate.</t>
        </r>
      </text>
    </comment>
    <comment ref="J20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Guesstimate.</t>
        </r>
      </text>
    </comment>
    <comment ref="K20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Guesstimate.</t>
        </r>
      </text>
    </comment>
    <comment ref="L20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Guesstimate.</t>
        </r>
      </text>
    </comment>
    <comment ref="M20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Guesstimate.</t>
        </r>
      </text>
    </comment>
    <comment ref="N20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Guesstimate.</t>
        </r>
      </text>
    </comment>
    <comment ref="O20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Guesstimate.</t>
        </r>
      </text>
    </comment>
    <comment ref="P20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Guesstimate.</t>
        </r>
      </text>
    </comment>
    <comment ref="Q20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Guesstimate.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Sigurd Lauge Pedersen</author>
    <author>Anna Gammelby Dahlgaard</author>
  </authors>
  <commentList>
    <comment ref="B1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Gas boiler 0,05; Electrical boiler 0,06; Heatpump (sea water) 0,38.</t>
        </r>
      </text>
    </comment>
    <comment ref="B1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Gas boiler 1900; Electrical boiler 1020; Heat pump (sea water) 4000.</t>
        </r>
      </text>
    </comment>
    <comment ref="C1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Ratio between electricity and heat output at maximum heat output. CHP plants only.</t>
        </r>
      </text>
    </comment>
    <comment ref="P17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Ignoring construction time.</t>
        </r>
      </text>
    </comment>
    <comment ref="U23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24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25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27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28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29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D30" authorId="1" shapeId="0" xr:uid="{00000000-0006-0000-0500-00000B000000}">
      <text>
        <r>
          <rPr>
            <b/>
            <sz val="9"/>
            <color indexed="81"/>
            <rFont val="Tahoma"/>
            <family val="2"/>
          </rPr>
          <t xml:space="preserve">Anna Gammelby Dahlgaard:
</t>
        </r>
        <r>
          <rPr>
            <sz val="9"/>
            <color indexed="81"/>
            <rFont val="Tahoma"/>
            <family val="2"/>
          </rPr>
          <t xml:space="preserve">Det hele er allokeret til el </t>
        </r>
      </text>
    </comment>
    <comment ref="U30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31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32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33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34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35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36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37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38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39" authorId="0" shapeId="0" xr:uid="{00000000-0006-0000-0500-000015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40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41" authorId="0" shapeId="0" xr:uid="{00000000-0006-0000-0500-000017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U42" authorId="0" shapeId="0" xr:uid="{00000000-0006-0000-0500-000018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I43" authorId="0" shapeId="0" xr:uid="{00000000-0006-0000-0500-000019000000}">
      <text>
        <r>
          <rPr>
            <b/>
            <sz val="9"/>
            <color indexed="81"/>
            <rFont val="Tahoma"/>
            <family val="2"/>
          </rPr>
          <t>The 2024 version seems to contain errors for straw. Therefore the older version of the tech cat has been used.</t>
        </r>
      </text>
    </comment>
    <comment ref="U43" authorId="0" shapeId="0" xr:uid="{00000000-0006-0000-0500-00001A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I44" authorId="0" shapeId="0" xr:uid="{00000000-0006-0000-0500-00001B000000}">
      <text>
        <r>
          <rPr>
            <b/>
            <sz val="9"/>
            <color indexed="81"/>
            <rFont val="Tahoma"/>
            <family val="2"/>
          </rPr>
          <t>The 2024 version seems to contain errors for straw. Therefore the older version of the tech cat has been used.</t>
        </r>
      </text>
    </comment>
    <comment ref="U44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I45" authorId="0" shapeId="0" xr:uid="{00000000-0006-0000-0500-00001D000000}">
      <text>
        <r>
          <rPr>
            <b/>
            <sz val="9"/>
            <color indexed="81"/>
            <rFont val="Tahoma"/>
            <family val="2"/>
          </rPr>
          <t>The 2024 version seems to contain errors for straw. Therefore the older version of the tech cat has been used.</t>
        </r>
      </text>
    </comment>
    <comment ref="U45" authorId="0" shapeId="0" xr:uid="{00000000-0006-0000-0500-00001E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L48" authorId="0" shapeId="0" xr:uid="{00000000-0006-0000-0500-00001F000000}">
      <text>
        <r>
          <rPr>
            <b/>
            <sz val="9"/>
            <color indexed="81"/>
            <rFont val="Tahoma"/>
            <family val="2"/>
          </rPr>
          <t>Guess</t>
        </r>
      </text>
    </comment>
    <comment ref="S48" authorId="0" shapeId="0" xr:uid="{00000000-0006-0000-0500-000020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L49" authorId="0" shapeId="0" xr:uid="{00000000-0006-0000-0500-000021000000}">
      <text>
        <r>
          <rPr>
            <b/>
            <sz val="9"/>
            <color indexed="81"/>
            <rFont val="Tahoma"/>
            <family val="2"/>
          </rPr>
          <t>Guess</t>
        </r>
      </text>
    </comment>
    <comment ref="M50" authorId="0" shapeId="0" xr:uid="{00000000-0006-0000-0500-000022000000}">
      <text>
        <r>
          <rPr>
            <b/>
            <sz val="9"/>
            <color indexed="81"/>
            <rFont val="Tahoma"/>
            <family val="2"/>
          </rPr>
          <t>For small wind and solar penetrations, this should be 1 (reflecting that the eqivalent firm capacity is roughly equal to average wind/solar).</t>
        </r>
      </text>
    </comment>
    <comment ref="M51" authorId="0" shapeId="0" xr:uid="{00000000-0006-0000-0500-000023000000}">
      <text>
        <r>
          <rPr>
            <b/>
            <sz val="9"/>
            <color indexed="81"/>
            <rFont val="Tahoma"/>
            <family val="2"/>
          </rPr>
          <t>For small wind and solar penetrations, this should be 1 (reflecting that the eqivalent firm capacity is roughly equal to average wind/solar).</t>
        </r>
      </text>
    </comment>
    <comment ref="M52" authorId="0" shapeId="0" xr:uid="{00000000-0006-0000-0500-000024000000}">
      <text>
        <r>
          <rPr>
            <b/>
            <sz val="9"/>
            <color indexed="81"/>
            <rFont val="Tahoma"/>
            <family val="2"/>
          </rPr>
          <t>For small wind and solar penetrations, this should be 1 (reflecting that the eqivalent firm capacity is roughly equal to average wind/solar).</t>
        </r>
      </text>
    </comment>
    <comment ref="M53" authorId="0" shapeId="0" xr:uid="{00000000-0006-0000-0500-000025000000}">
      <text>
        <r>
          <rPr>
            <b/>
            <sz val="9"/>
            <color indexed="81"/>
            <rFont val="Tahoma"/>
            <family val="2"/>
          </rPr>
          <t>For small wind and solar penetrations, this should be 1 (reflecting that the eqivalent firm capacity is roughly equal to average wind/solar).</t>
        </r>
      </text>
    </comment>
    <comment ref="M54" authorId="0" shapeId="0" xr:uid="{00000000-0006-0000-0500-000026000000}">
      <text>
        <r>
          <rPr>
            <b/>
            <sz val="9"/>
            <color indexed="81"/>
            <rFont val="Tahoma"/>
            <family val="2"/>
          </rPr>
          <t>For small wind and solar penetrations, this should be 1 (reflecting that the eqivalent firm capacity is roughly equal to average wind/solar).</t>
        </r>
      </text>
    </comment>
    <comment ref="M55" authorId="0" shapeId="0" xr:uid="{00000000-0006-0000-0500-000027000000}">
      <text>
        <r>
          <rPr>
            <b/>
            <sz val="9"/>
            <color indexed="81"/>
            <rFont val="Tahoma"/>
            <family val="2"/>
          </rPr>
          <t>For small wind and solar penetrations, this should be 1 (reflecting that the eqivalent firm capacity is roughly equal to average wind/solar).</t>
        </r>
      </text>
    </comment>
    <comment ref="M56" authorId="0" shapeId="0" xr:uid="{00000000-0006-0000-0500-000028000000}">
      <text>
        <r>
          <rPr>
            <b/>
            <sz val="9"/>
            <color indexed="81"/>
            <rFont val="Tahoma"/>
            <family val="2"/>
          </rPr>
          <t>For small wind and solar penetrations, this should be 1 (reflecting that the eqivalent firm capacity is roughly equal to average wind/solar).</t>
        </r>
      </text>
    </comment>
    <comment ref="M57" authorId="0" shapeId="0" xr:uid="{00000000-0006-0000-0500-000029000000}">
      <text>
        <r>
          <rPr>
            <b/>
            <sz val="9"/>
            <color indexed="81"/>
            <rFont val="Tahoma"/>
            <family val="2"/>
          </rPr>
          <t>For small wind and solar penetrations, this should be 1 (reflecting that the eqivalent firm capacity is roughly equal to average wind/solar).</t>
        </r>
      </text>
    </comment>
    <comment ref="L58" authorId="0" shapeId="0" xr:uid="{00000000-0006-0000-0500-00002A000000}">
      <text>
        <r>
          <rPr>
            <b/>
            <sz val="9"/>
            <color indexed="81"/>
            <rFont val="Tahoma"/>
            <family val="2"/>
          </rPr>
          <t>As nearshore wind.</t>
        </r>
      </text>
    </comment>
    <comment ref="M58" authorId="0" shapeId="0" xr:uid="{00000000-0006-0000-0500-00002B000000}">
      <text>
        <r>
          <rPr>
            <b/>
            <sz val="9"/>
            <color indexed="81"/>
            <rFont val="Tahoma"/>
            <family val="2"/>
          </rPr>
          <t>For small wind and solar penetrations, this should be 1 (reflecting that the eqivalent firm capacity is roughly equal to average wind/solar).</t>
        </r>
      </text>
    </comment>
    <comment ref="E62" authorId="0" shapeId="0" xr:uid="{00000000-0006-0000-0500-00002C000000}">
      <text>
        <r>
          <rPr>
            <b/>
            <sz val="9"/>
            <color indexed="81"/>
            <rFont val="Tahoma"/>
            <family val="2"/>
          </rPr>
          <t>No data found. Assumed equal to OCGT NG</t>
        </r>
      </text>
    </comment>
    <comment ref="L62" authorId="0" shapeId="0" xr:uid="{00000000-0006-0000-0500-00002D000000}">
      <text>
        <r>
          <rPr>
            <b/>
            <sz val="9"/>
            <color indexed="81"/>
            <rFont val="Tahoma"/>
            <family val="2"/>
          </rPr>
          <t>No data found. Assumed equal to OCGT NG</t>
        </r>
      </text>
    </comment>
    <comment ref="S62" authorId="0" shapeId="0" xr:uid="{00000000-0006-0000-0500-00002E000000}">
      <text>
        <r>
          <rPr>
            <b/>
            <sz val="9"/>
            <color indexed="81"/>
            <rFont val="Tahoma"/>
            <family val="2"/>
          </rPr>
          <t>No data found. Assumed equal to OCGT NG</t>
        </r>
      </text>
    </comment>
    <comment ref="C63" authorId="0" shapeId="0" xr:uid="{00000000-0006-0000-0500-00002F000000}">
      <text>
        <r>
          <rPr>
            <b/>
            <sz val="9"/>
            <color indexed="81"/>
            <rFont val="Tahoma"/>
            <family val="2"/>
          </rPr>
          <t>DEA estimate</t>
        </r>
      </text>
    </comment>
    <comment ref="D63" authorId="0" shapeId="0" xr:uid="{00000000-0006-0000-0500-000030000000}">
      <text>
        <r>
          <rPr>
            <b/>
            <sz val="9"/>
            <color indexed="81"/>
            <rFont val="Tahoma"/>
            <family val="2"/>
          </rPr>
          <t>Source: Dansk Fjernvarme &amp; Added Values.</t>
        </r>
      </text>
    </comment>
    <comment ref="E63" authorId="0" shapeId="0" xr:uid="{00000000-0006-0000-0500-000031000000}">
      <text>
        <r>
          <rPr>
            <b/>
            <sz val="9"/>
            <color indexed="81"/>
            <rFont val="Tahoma"/>
            <family val="2"/>
          </rPr>
          <t>Source: Dansk Fjernvarme &amp; Added Values.</t>
        </r>
      </text>
    </comment>
    <comment ref="U63" authorId="0" shapeId="0" xr:uid="{00000000-0006-0000-0500-000032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C64" authorId="0" shapeId="0" xr:uid="{00000000-0006-0000-0500-000033000000}">
      <text>
        <r>
          <rPr>
            <b/>
            <sz val="9"/>
            <color indexed="81"/>
            <rFont val="Tahoma"/>
            <family val="2"/>
          </rPr>
          <t>DEA estimate</t>
        </r>
      </text>
    </comment>
    <comment ref="D64" authorId="0" shapeId="0" xr:uid="{00000000-0006-0000-0500-000034000000}">
      <text>
        <r>
          <rPr>
            <b/>
            <sz val="9"/>
            <color indexed="81"/>
            <rFont val="Tahoma"/>
            <family val="2"/>
          </rPr>
          <t>Source: Dansk Fjernvarme &amp; Added Values.</t>
        </r>
      </text>
    </comment>
    <comment ref="E64" authorId="0" shapeId="0" xr:uid="{00000000-0006-0000-0500-000035000000}">
      <text>
        <r>
          <rPr>
            <b/>
            <sz val="9"/>
            <color indexed="81"/>
            <rFont val="Tahoma"/>
            <family val="2"/>
          </rPr>
          <t>Source: Dansk Fjernvarme &amp; Added Values.</t>
        </r>
      </text>
    </comment>
    <comment ref="U64" authorId="0" shapeId="0" xr:uid="{00000000-0006-0000-0500-000036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C65" authorId="0" shapeId="0" xr:uid="{00000000-0006-0000-0500-000037000000}">
      <text>
        <r>
          <rPr>
            <b/>
            <sz val="9"/>
            <color indexed="81"/>
            <rFont val="Tahoma"/>
            <family val="2"/>
          </rPr>
          <t>DEA estimate</t>
        </r>
      </text>
    </comment>
    <comment ref="D65" authorId="0" shapeId="0" xr:uid="{00000000-0006-0000-0500-000038000000}">
      <text>
        <r>
          <rPr>
            <b/>
            <sz val="9"/>
            <color indexed="81"/>
            <rFont val="Tahoma"/>
            <family val="2"/>
          </rPr>
          <t>Source: Dansk Fjernvarme &amp; Added Values.</t>
        </r>
      </text>
    </comment>
    <comment ref="E65" authorId="0" shapeId="0" xr:uid="{00000000-0006-0000-0500-000039000000}">
      <text>
        <r>
          <rPr>
            <b/>
            <sz val="9"/>
            <color indexed="81"/>
            <rFont val="Tahoma"/>
            <family val="2"/>
          </rPr>
          <t>Source: Dansk Fjernvarme &amp; Added Values.</t>
        </r>
      </text>
    </comment>
    <comment ref="U65" authorId="0" shapeId="0" xr:uid="{00000000-0006-0000-0500-00003A000000}">
      <text>
        <r>
          <rPr>
            <b/>
            <sz val="9"/>
            <color indexed="81"/>
            <rFont val="Tahoma"/>
            <family val="2"/>
          </rPr>
          <t>Electrical efficiency for CHP plants calculated as net assuming heat replaces heat produced on  boiler with the same fuel.</t>
        </r>
      </text>
    </comment>
    <comment ref="E66" authorId="0" shapeId="0" xr:uid="{00000000-0006-0000-0500-00003B000000}">
      <text>
        <r>
          <rPr>
            <b/>
            <sz val="9"/>
            <color indexed="81"/>
            <rFont val="Tahoma"/>
            <family val="2"/>
          </rPr>
          <t>No Danish data found. In France, CONE for DSR in industry is in the range 15000 to 250000 €/Mwyear. Source: Smart grids Socio- economic value and
optimal flexibility portfolios. RTE
JUNE 2017</t>
        </r>
      </text>
    </comment>
    <comment ref="F66" authorId="0" shapeId="0" xr:uid="{00000000-0006-0000-0500-00003C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G66" authorId="0" shapeId="0" xr:uid="{00000000-0006-0000-0500-00003D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H66" authorId="0" shapeId="0" xr:uid="{00000000-0006-0000-0500-00003E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L66" authorId="0" shapeId="0" xr:uid="{00000000-0006-0000-0500-00003F000000}">
      <text>
        <r>
          <rPr>
            <b/>
            <sz val="9"/>
            <color indexed="81"/>
            <rFont val="Tahoma"/>
            <family val="2"/>
          </rPr>
          <t>Oplyst mundtligt.</t>
        </r>
      </text>
    </comment>
    <comment ref="S66" authorId="0" shapeId="0" xr:uid="{00000000-0006-0000-0500-000040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E67" authorId="0" shapeId="0" xr:uid="{00000000-0006-0000-0500-000041000000}">
      <text>
        <r>
          <rPr>
            <b/>
            <sz val="9"/>
            <color indexed="81"/>
            <rFont val="Tahoma"/>
            <family val="2"/>
          </rPr>
          <t>No Danish data found. In France, CONE for DSR in industry is in the range 15000 to 250000 €/Mwyear.</t>
        </r>
      </text>
    </comment>
    <comment ref="F67" authorId="0" shapeId="0" xr:uid="{00000000-0006-0000-0500-000042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G67" authorId="0" shapeId="0" xr:uid="{00000000-0006-0000-0500-000043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H67" authorId="0" shapeId="0" xr:uid="{00000000-0006-0000-0500-000044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L67" authorId="0" shapeId="0" xr:uid="{00000000-0006-0000-0500-000045000000}">
      <text>
        <r>
          <rPr>
            <b/>
            <sz val="9"/>
            <color indexed="81"/>
            <rFont val="Tahoma"/>
            <family val="2"/>
          </rPr>
          <t>Oplyst mundtligt.</t>
        </r>
      </text>
    </comment>
    <comment ref="S67" authorId="0" shapeId="0" xr:uid="{00000000-0006-0000-0500-000046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E68" authorId="0" shapeId="0" xr:uid="{00000000-0006-0000-0500-000047000000}">
      <text>
        <r>
          <rPr>
            <b/>
            <sz val="9"/>
            <color indexed="81"/>
            <rFont val="Tahoma"/>
            <family val="2"/>
          </rPr>
          <t>Samhällsekonomiska kostnader och nyttor av smarta elnät
Energimarknadsinspektionen.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8" authorId="0" shapeId="0" xr:uid="{00000000-0006-0000-0500-000048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G68" authorId="0" shapeId="0" xr:uid="{00000000-0006-0000-0500-000049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H68" authorId="0" shapeId="0" xr:uid="{00000000-0006-0000-0500-00004A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M68" authorId="0" shapeId="0" xr:uid="{00000000-0006-0000-0500-00004B000000}">
      <text>
        <r>
          <rPr>
            <b/>
            <sz val="9"/>
            <color indexed="81"/>
            <rFont val="Tahoma"/>
            <family val="2"/>
          </rPr>
          <t>Estimated</t>
        </r>
      </text>
    </comment>
    <comment ref="S68" authorId="0" shapeId="0" xr:uid="{00000000-0006-0000-0500-00004C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E69" authorId="0" shapeId="0" xr:uid="{00000000-0006-0000-0500-00004D000000}">
      <text>
        <r>
          <rPr>
            <b/>
            <sz val="9"/>
            <color indexed="81"/>
            <rFont val="Tahoma"/>
            <family val="2"/>
          </rPr>
          <t>Samhällsekonomiska kostnader och nyttor av smarta elnät
Energimarknadsinspektionen.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9" authorId="0" shapeId="0" xr:uid="{00000000-0006-0000-0500-00004E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G69" authorId="0" shapeId="0" xr:uid="{00000000-0006-0000-0500-00004F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H69" authorId="0" shapeId="0" xr:uid="{00000000-0006-0000-0500-000050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M69" authorId="0" shapeId="0" xr:uid="{00000000-0006-0000-0500-000051000000}">
      <text>
        <r>
          <rPr>
            <b/>
            <sz val="9"/>
            <color indexed="81"/>
            <rFont val="Tahoma"/>
            <family val="2"/>
          </rPr>
          <t>Estimated</t>
        </r>
      </text>
    </comment>
    <comment ref="S69" authorId="0" shapeId="0" xr:uid="{00000000-0006-0000-0500-000052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E70" authorId="0" shapeId="0" xr:uid="{00000000-0006-0000-0500-000053000000}">
      <text>
        <r>
          <rPr>
            <b/>
            <sz val="9"/>
            <color indexed="81"/>
            <rFont val="Tahoma"/>
            <family val="2"/>
          </rPr>
          <t>Samhällsekonomiska kostnader och nyttor av smarta elnät
Energimarknadsinspektionen.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0" authorId="0" shapeId="0" xr:uid="{00000000-0006-0000-0500-000054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G70" authorId="0" shapeId="0" xr:uid="{00000000-0006-0000-0500-000055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H70" authorId="0" shapeId="0" xr:uid="{00000000-0006-0000-0500-000056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M70" authorId="0" shapeId="0" xr:uid="{00000000-0006-0000-0500-000057000000}">
      <text>
        <r>
          <rPr>
            <b/>
            <sz val="9"/>
            <color indexed="81"/>
            <rFont val="Tahoma"/>
            <family val="2"/>
          </rPr>
          <t>Estimated</t>
        </r>
      </text>
    </comment>
    <comment ref="S70" authorId="0" shapeId="0" xr:uid="{00000000-0006-0000-0500-000058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E71" authorId="0" shapeId="0" xr:uid="{00000000-0006-0000-0500-000059000000}">
      <text>
        <r>
          <rPr>
            <b/>
            <sz val="9"/>
            <color indexed="81"/>
            <rFont val="Tahoma"/>
            <family val="2"/>
          </rPr>
          <t>Samhällsekonomiska kostnader och nyttor av smarta elnät
Energimarknadsinspektionen.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1" authorId="0" shapeId="0" xr:uid="{00000000-0006-0000-0500-00005A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G71" authorId="0" shapeId="0" xr:uid="{00000000-0006-0000-0500-00005B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H71" authorId="0" shapeId="0" xr:uid="{00000000-0006-0000-0500-00005C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M71" authorId="0" shapeId="0" xr:uid="{00000000-0006-0000-0500-00005D000000}">
      <text>
        <r>
          <rPr>
            <b/>
            <sz val="9"/>
            <color indexed="81"/>
            <rFont val="Tahoma"/>
            <family val="2"/>
          </rPr>
          <t>Estimated</t>
        </r>
      </text>
    </comment>
    <comment ref="S71" authorId="0" shapeId="0" xr:uid="{00000000-0006-0000-0500-00005E000000}">
      <text>
        <r>
          <rPr>
            <b/>
            <sz val="9"/>
            <color indexed="81"/>
            <rFont val="Tahoma"/>
            <family val="2"/>
          </rPr>
          <t>No data found.</t>
        </r>
      </text>
    </comment>
    <comment ref="D72" authorId="0" shapeId="0" xr:uid="{00000000-0006-0000-0500-00005F000000}">
      <text>
        <r>
          <rPr>
            <b/>
            <sz val="9"/>
            <color indexed="81"/>
            <rFont val="Tahoma"/>
            <family val="2"/>
          </rPr>
          <t>IEA Electricity Generation Cost 2020 edition</t>
        </r>
      </text>
    </comment>
    <comment ref="E72" authorId="0" shapeId="0" xr:uid="{00000000-0006-0000-0500-000060000000}">
      <text>
        <r>
          <rPr>
            <b/>
            <sz val="9"/>
            <color indexed="81"/>
            <rFont val="Tahoma"/>
            <family val="2"/>
          </rPr>
          <t>IEA Electricity Generation Cost 2020 edition</t>
        </r>
      </text>
    </comment>
    <comment ref="S72" authorId="0" shapeId="0" xr:uid="{00000000-0006-0000-0500-000061000000}">
      <text>
        <r>
          <rPr>
            <b/>
            <sz val="9"/>
            <color indexed="81"/>
            <rFont val="Tahoma"/>
            <family val="2"/>
          </rPr>
          <t>IEA Electricity Generation Cost 2020 edition</t>
        </r>
      </text>
    </comment>
    <comment ref="D73" authorId="0" shapeId="0" xr:uid="{00000000-0006-0000-0500-000062000000}">
      <text>
        <r>
          <rPr>
            <b/>
            <sz val="9"/>
            <color indexed="81"/>
            <rFont val="Tahoma"/>
            <family val="2"/>
          </rPr>
          <t>Kun kapacitetskomponenten. Måske lidt undervurderet.</t>
        </r>
      </text>
    </comment>
    <comment ref="M73" authorId="0" shapeId="0" xr:uid="{00000000-0006-0000-0500-000063000000}">
      <text>
        <r>
          <rPr>
            <b/>
            <sz val="9"/>
            <color indexed="81"/>
            <rFont val="Tahoma"/>
            <family val="2"/>
          </rPr>
          <t xml:space="preserve">Skønnet. Lagerindhold svarer til 10 timers fuldlast-drift i tekkat. Reducerer den reelle rådighed ved elmangel, der varer længere end 10 timer. Eneste kendte CAES projekt i DK angiver dog et kortere tidsrum end 10 timer. </t>
        </r>
      </text>
    </comment>
    <comment ref="E74" authorId="0" shapeId="0" xr:uid="{00000000-0006-0000-0500-000064000000}">
      <text>
        <r>
          <rPr>
            <b/>
            <sz val="9"/>
            <color indexed="81"/>
            <rFont val="Tahoma"/>
            <family val="2"/>
          </rPr>
          <t>De 540 €/MW antages at gælde for output-kapaciteten.</t>
        </r>
      </text>
    </comment>
    <comment ref="F74" authorId="0" shapeId="0" xr:uid="{00000000-0006-0000-0500-000065000000}">
      <text>
        <r>
          <rPr>
            <b/>
            <sz val="9"/>
            <color indexed="81"/>
            <rFont val="Tahoma"/>
            <family val="2"/>
          </rPr>
          <t>30000 cycles.</t>
        </r>
      </text>
    </comment>
    <comment ref="G74" authorId="0" shapeId="0" xr:uid="{00000000-0006-0000-0500-000066000000}">
      <text>
        <r>
          <rPr>
            <b/>
            <sz val="9"/>
            <color indexed="81"/>
            <rFont val="Tahoma"/>
            <family val="2"/>
          </rPr>
          <t>Egentlig 0,2, men modellen kan ikke finde ud af mindre end 1.</t>
        </r>
      </text>
    </comment>
    <comment ref="M74" authorId="0" shapeId="0" xr:uid="{00000000-0006-0000-0500-000067000000}">
      <text>
        <r>
          <rPr>
            <b/>
            <sz val="9"/>
            <color indexed="81"/>
            <rFont val="Tahoma"/>
            <family val="2"/>
          </rPr>
          <t>Lagerindhold svarende til 20 minutter fuldlast-drift. Reducerer den reelle rådighed. Antager at kapaciteten skal kunne bruges i 5 timer for at tælle fuld værdi.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Sigurd Lauge Pedersen</author>
  </authors>
  <commentList>
    <comment ref="H1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From MMR 2021</t>
        </r>
      </text>
    </comment>
  </commentList>
</comments>
</file>

<file path=xl/sharedStrings.xml><?xml version="1.0" encoding="utf-8"?>
<sst xmlns="http://schemas.openxmlformats.org/spreadsheetml/2006/main" count="607" uniqueCount="238">
  <si>
    <t>VOLL</t>
  </si>
  <si>
    <t>€/MWh</t>
  </si>
  <si>
    <t>Cost of capital</t>
  </si>
  <si>
    <t>slp@ens.dk</t>
  </si>
  <si>
    <t>(Dep of Finance)</t>
  </si>
  <si>
    <t>Inflation factor</t>
  </si>
  <si>
    <t>NL</t>
  </si>
  <si>
    <t>FR</t>
  </si>
  <si>
    <t>IT</t>
  </si>
  <si>
    <t>BE</t>
  </si>
  <si>
    <t>SL</t>
  </si>
  <si>
    <t>FI</t>
  </si>
  <si>
    <t>GR</t>
  </si>
  <si>
    <t>CZ</t>
  </si>
  <si>
    <t>DK</t>
  </si>
  <si>
    <t>SE</t>
  </si>
  <si>
    <t>DK (OCGT)</t>
  </si>
  <si>
    <t>FR (DR)</t>
  </si>
  <si>
    <t>CZ (OCGT)</t>
  </si>
  <si>
    <t>IT (OCGT)</t>
  </si>
  <si>
    <t>BE (DR)</t>
  </si>
  <si>
    <t>SL (DR)</t>
  </si>
  <si>
    <t>GR (DR)</t>
  </si>
  <si>
    <t>FI (LTE)</t>
  </si>
  <si>
    <t>SE (DR)</t>
  </si>
  <si>
    <t>Construction time</t>
  </si>
  <si>
    <t>Lifetime excl. Construction</t>
  </si>
  <si>
    <t>Variable operation cost €/MWh</t>
  </si>
  <si>
    <t>Fuel cost €/MWh</t>
  </si>
  <si>
    <t>Coal power plant, supercritical - extraction - coal - medium</t>
  </si>
  <si>
    <t>Life time extension of coal extraction plant - refurbish - coal - large</t>
  </si>
  <si>
    <t>Rebuild extraction plant from coal to biomass a) existing boiler - fuel conversion - wood pellets - large</t>
  </si>
  <si>
    <t>Rebuild extraction plant from coal to biomass b) new boiler - fuel conversion - wood chips - large</t>
  </si>
  <si>
    <t>Rebuild extraction plant from coal to biomass c) existing boiler - fuel conversion - wood chips - large</t>
  </si>
  <si>
    <t>Gas turbine, combined cycle - extraction - natural gas - large</t>
  </si>
  <si>
    <t>Gas turbine, combined cycle - back pressure - natural gas - medium</t>
  </si>
  <si>
    <t>Waste CHP, 40/80 degree - back pressure - waste - large</t>
  </si>
  <si>
    <t>Waste CHP, 50/100 degree - back pressure - waste - large</t>
  </si>
  <si>
    <t>Waste CHP - back pressure - waste - medium</t>
  </si>
  <si>
    <t>Waste CHP - back pressure - waste - small</t>
  </si>
  <si>
    <t>Biomass CHP, 40/80 degree - back pressure - wood chips - large</t>
  </si>
  <si>
    <t>Biomass CHP, 50/100 degree - back pressure - wood chips - large</t>
  </si>
  <si>
    <t>Biomass CHP - back pressure - wood chips - medium</t>
  </si>
  <si>
    <t>Biomass CHP - back pressure - wood chips - small</t>
  </si>
  <si>
    <t>Biomass CHP, 40/80 degree - back pressure - wood pellets - large</t>
  </si>
  <si>
    <t>Biomass CHP, 50/100 degree - back pressure - wood pellets - large</t>
  </si>
  <si>
    <t>Biomass CHP - back pressure - wood pellets - medium</t>
  </si>
  <si>
    <t>Biomass CHP - boiler - wood pellets - small</t>
  </si>
  <si>
    <t>Biomass CHP, 40/80 degree - back pressure - straw - large</t>
  </si>
  <si>
    <t>Biomass CHP, 50/100 degree - back pressure - straw - large</t>
  </si>
  <si>
    <t>Biomass CHP - back pressure - straw - medium</t>
  </si>
  <si>
    <t>Biomass CHP - back pressure - straw - small</t>
  </si>
  <si>
    <t>Biomass CHP - extraction - wood chips - large</t>
  </si>
  <si>
    <t>Biomass CHP - extraction - wood pellets - large</t>
  </si>
  <si>
    <t>Solid oxide fuel cell - back pressure - biogas - small</t>
  </si>
  <si>
    <t>Low temp PEM fuel cell - back pressure - hydrogen - small</t>
  </si>
  <si>
    <t>Onshore wind turbine, utility - renewable power - wind - large</t>
  </si>
  <si>
    <t>Onshore wind turbine, residential - renewable power - wind - small</t>
  </si>
  <si>
    <t>Offshore wind turbines - renewable power - wind - large</t>
  </si>
  <si>
    <t>Offshore wind turbines, nearshore - renewable power - wind - large</t>
  </si>
  <si>
    <t>PV - renewable power - solar - residential rooftop</t>
  </si>
  <si>
    <t>PV - renewable power - solar - commercial/industrial rooftop</t>
  </si>
  <si>
    <t>PV - renewable power - solar - utility-scale, ground mounted</t>
  </si>
  <si>
    <t>PV - renewable power - solar - utility-scale ground mounted, single axis tracking</t>
  </si>
  <si>
    <t>Wave power - renewable power - wave - medium</t>
  </si>
  <si>
    <t>Engine, peak plant - back pressure - diesel - medium</t>
  </si>
  <si>
    <t>Engine, peak plant - back pressure - natural gas - medium</t>
  </si>
  <si>
    <t>WACC</t>
  </si>
  <si>
    <t>Gas turbine, simgle cycle - back pressure - natural gas - large</t>
  </si>
  <si>
    <t>Gas turbine, simgle cycle - back pressure - natural gas - small</t>
  </si>
  <si>
    <t>Gas turbine, simgle cycle - back pressure - natural gas - micro</t>
  </si>
  <si>
    <t>Gas engine - back pressure - natural gas - small</t>
  </si>
  <si>
    <t>Gas engine - back pressure - biogas - small</t>
  </si>
  <si>
    <t>Construction time (rounded)</t>
  </si>
  <si>
    <t>Year</t>
  </si>
  <si>
    <t>Cost €/MW</t>
  </si>
  <si>
    <t>Simplified EAC €/Mwy</t>
  </si>
  <si>
    <t>CONE derated €/MWy</t>
  </si>
  <si>
    <t>EAC €/MWy</t>
  </si>
  <si>
    <t>Derating factor</t>
  </si>
  <si>
    <t>Extra derating factor</t>
  </si>
  <si>
    <t>LTE gas turbine single cycle</t>
  </si>
  <si>
    <t>LTE gas engine</t>
  </si>
  <si>
    <t>Nuclear power</t>
  </si>
  <si>
    <t>Battery</t>
  </si>
  <si>
    <t>CONE (var) €/MWh</t>
  </si>
  <si>
    <t>r</t>
  </si>
  <si>
    <t>Fuel price</t>
  </si>
  <si>
    <t>Efficiency</t>
  </si>
  <si>
    <t>Coal LTE</t>
  </si>
  <si>
    <t>Coal to pellets exist boiler</t>
  </si>
  <si>
    <t>Coal to chips exist boiler</t>
  </si>
  <si>
    <t>Coal to chips new boiler</t>
  </si>
  <si>
    <t>Potential CRT</t>
  </si>
  <si>
    <t>Waste CHP large</t>
  </si>
  <si>
    <t>Waste CHP medium</t>
  </si>
  <si>
    <t>Waste CHP small</t>
  </si>
  <si>
    <t>Onshore wind</t>
  </si>
  <si>
    <t>Offshore wind</t>
  </si>
  <si>
    <t>PV - renewable</t>
  </si>
  <si>
    <t>Onshore wind small</t>
  </si>
  <si>
    <t>Biomass CHP, large</t>
  </si>
  <si>
    <t>Biomass CHP small</t>
  </si>
  <si>
    <t>Engine, peak medium</t>
  </si>
  <si>
    <t>OCGT LTE</t>
  </si>
  <si>
    <t>Wave power</t>
  </si>
  <si>
    <t>Diesel engine</t>
  </si>
  <si>
    <t>OCGT oil</t>
  </si>
  <si>
    <t>Nuclear</t>
  </si>
  <si>
    <t>GE LTE gas</t>
  </si>
  <si>
    <t>LOLE target (hours)</t>
  </si>
  <si>
    <t>Price level:</t>
  </si>
  <si>
    <t>Price level</t>
  </si>
  <si>
    <t>Reliability standard calculation for Denmark according to ACER/Entsoe methodology</t>
  </si>
  <si>
    <t>New coal</t>
  </si>
  <si>
    <t>No</t>
  </si>
  <si>
    <t>Yes</t>
  </si>
  <si>
    <t>Source of fuel prices: Danish Energy Agency analysis assumptions for Energinet 2023.</t>
  </si>
  <si>
    <t>N/A</t>
  </si>
  <si>
    <t>Standard</t>
  </si>
  <si>
    <t>Reliable cost info</t>
  </si>
  <si>
    <t>Unconstrained</t>
  </si>
  <si>
    <t>Gas turbine, open cycle</t>
  </si>
  <si>
    <t>OCGT gas</t>
  </si>
  <si>
    <t>SOFC</t>
  </si>
  <si>
    <t>PEM FC</t>
  </si>
  <si>
    <t>Source of VOLL: DEA report. 174 DKK/kWh in 2020 prices.</t>
  </si>
  <si>
    <t>Fixed O&amp;M cost €/MWy</t>
  </si>
  <si>
    <t>Unit investments M€/MW</t>
  </si>
  <si>
    <t>EE</t>
  </si>
  <si>
    <t>EE (OCGT)</t>
  </si>
  <si>
    <t>IRL</t>
  </si>
  <si>
    <t>IRL (OCGT)</t>
  </si>
  <si>
    <t>DE</t>
  </si>
  <si>
    <t>LU</t>
  </si>
  <si>
    <t>LU (OCGT+DR)</t>
  </si>
  <si>
    <t>DE (OCGT+DR)</t>
  </si>
  <si>
    <t>PT</t>
  </si>
  <si>
    <t>PL</t>
  </si>
  <si>
    <t>VOLL €/MWh</t>
  </si>
  <si>
    <t>Source: ACER</t>
  </si>
  <si>
    <t>CONEfixed €/MW</t>
  </si>
  <si>
    <t>Comparison between MS of VOLL, CONE and RS</t>
  </si>
  <si>
    <t>RS decided</t>
  </si>
  <si>
    <t>RS calculated using ACER method</t>
  </si>
  <si>
    <t>Derating</t>
  </si>
  <si>
    <t>Battery Li-ion</t>
  </si>
  <si>
    <t>Compressed Air Energy Storage</t>
  </si>
  <si>
    <t>CAES</t>
  </si>
  <si>
    <t>Figure titles</t>
  </si>
  <si>
    <t>EURO exchange rate</t>
  </si>
  <si>
    <t>Coal</t>
  </si>
  <si>
    <t>Central plant</t>
  </si>
  <si>
    <t>Gas oil</t>
  </si>
  <si>
    <t>Fuel oil</t>
  </si>
  <si>
    <t>Natural gas</t>
  </si>
  <si>
    <t>Small plant</t>
  </si>
  <si>
    <t>Prices from DEA -assumptions for Energinet (AF23)</t>
  </si>
  <si>
    <t>Price level 2023. DKK/GJ</t>
  </si>
  <si>
    <t>Straw</t>
  </si>
  <si>
    <t>Wood chips</t>
  </si>
  <si>
    <t>Wood pellets</t>
  </si>
  <si>
    <t>Fuel prices, level 2023. DKK/GJ.</t>
  </si>
  <si>
    <t>Carbon prices, levet 2023. DKK/tonne.</t>
  </si>
  <si>
    <t>All plants</t>
  </si>
  <si>
    <t>Uranium</t>
  </si>
  <si>
    <t>Waste</t>
  </si>
  <si>
    <t>Emission factor kg/GJ</t>
  </si>
  <si>
    <t>Hydrogen</t>
  </si>
  <si>
    <t>CoalPrice</t>
  </si>
  <si>
    <t>GasoilPriceCentral</t>
  </si>
  <si>
    <t>FueloilPrice</t>
  </si>
  <si>
    <t>NatgasPriceCentral</t>
  </si>
  <si>
    <t>StrawPriceCentral</t>
  </si>
  <si>
    <t>WCPriceCentral</t>
  </si>
  <si>
    <t>WPpriceCentral</t>
  </si>
  <si>
    <t>UraniumPrice</t>
  </si>
  <si>
    <t>GasoilPriceSmall</t>
  </si>
  <si>
    <t>NatgasPriceSmall</t>
  </si>
  <si>
    <t>StrawPriceSmall</t>
  </si>
  <si>
    <t>WCPriceSmall</t>
  </si>
  <si>
    <t>WPPriceSmall</t>
  </si>
  <si>
    <t>HydrogenPrice</t>
  </si>
  <si>
    <t>WastePrice</t>
  </si>
  <si>
    <t>CarbonPrice</t>
  </si>
  <si>
    <t>Year:</t>
  </si>
  <si>
    <t>Fuel price in Euro/MWh</t>
  </si>
  <si>
    <t>Carbon price in Euro/t</t>
  </si>
  <si>
    <t>Biogas</t>
  </si>
  <si>
    <t>Small plants</t>
  </si>
  <si>
    <t>BiogasPrice</t>
  </si>
  <si>
    <t>Deflator</t>
  </si>
  <si>
    <t>DKK/€</t>
  </si>
  <si>
    <t>Demand side response (low)</t>
  </si>
  <si>
    <t>Demand side response (high)</t>
  </si>
  <si>
    <t>DSR low FR</t>
  </si>
  <si>
    <t>DSR high FR</t>
  </si>
  <si>
    <t>Demand side response Papir</t>
  </si>
  <si>
    <t>Demand side response Køl/frys</t>
  </si>
  <si>
    <t>Demand side response Ventilation</t>
  </si>
  <si>
    <t>Demand side response Cement</t>
  </si>
  <si>
    <t>DSR low paper SE</t>
  </si>
  <si>
    <t>DSR low cooling SE</t>
  </si>
  <si>
    <t>DSR low ventilation SE</t>
  </si>
  <si>
    <t>DSR low cement SE</t>
  </si>
  <si>
    <t>Nearshore wind</t>
  </si>
  <si>
    <t>PV utility scale</t>
  </si>
  <si>
    <t>PV commercial rooftop</t>
  </si>
  <si>
    <t>CRT?</t>
  </si>
  <si>
    <t>OCGT CHP large</t>
  </si>
  <si>
    <t>OCGT CHP small</t>
  </si>
  <si>
    <t>OCGT CHP micro</t>
  </si>
  <si>
    <t>CCGT CHP large</t>
  </si>
  <si>
    <t>CCGT CHP medium</t>
  </si>
  <si>
    <t>Gas engine CHP NG</t>
  </si>
  <si>
    <t>Gas engine CHP biogas</t>
  </si>
  <si>
    <t>CO2 price</t>
  </si>
  <si>
    <t>PV roofotop small</t>
  </si>
  <si>
    <t>Bio CHP extraction pellets</t>
  </si>
  <si>
    <t>Bio CHP extraction chips</t>
  </si>
  <si>
    <t>Biomass CHP chips</t>
  </si>
  <si>
    <t>Biomass CHP pellets</t>
  </si>
  <si>
    <t>Biomass CHP pellets small</t>
  </si>
  <si>
    <t>Biomass CHP, straw large</t>
  </si>
  <si>
    <t>Biomass CHP straw medium</t>
  </si>
  <si>
    <t>Biomass CHP straw small</t>
  </si>
  <si>
    <t>CRT</t>
  </si>
  <si>
    <t>Heat capacity unit investment cost</t>
  </si>
  <si>
    <t>M€/MWt</t>
  </si>
  <si>
    <t>Cb-value</t>
  </si>
  <si>
    <t>Heat capacity fixed operating costs</t>
  </si>
  <si>
    <t>€/MWy</t>
  </si>
  <si>
    <t>CONE and LOLE targets for Candidate Reference Technologies</t>
  </si>
  <si>
    <t>CC LTE gas</t>
  </si>
  <si>
    <t>Danish Energy Agency 14 August 2024</t>
  </si>
  <si>
    <t>Source of costs, efficiencies and outage: Technology Data Energinet and Danish Energy Agency 2024</t>
  </si>
  <si>
    <t xml:space="preserve">LTE Gas turbine combined cycle </t>
  </si>
  <si>
    <t>Lifetime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</si>
</sst>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%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5" fillId="0" borderId="0" xfId="0" applyFont="1"/>
    <xf numFmtId="9" fontId="2" fillId="0" borderId="0" xfId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6" fillId="0" borderId="0" xfId="2"/>
    <xf numFmtId="165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" fontId="2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Border="1" applyAlignment="1">
      <alignment horizontal="center"/>
    </xf>
    <xf numFmtId="1" fontId="7" fillId="0" borderId="0" xfId="0" applyNumberFormat="1" applyFont="1" applyAlignment="1">
      <alignment horizontal="center"/>
    </xf>
    <xf numFmtId="2" fontId="0" fillId="0" borderId="0" xfId="0" applyNumberFormat="1" applyFill="1" applyAlignment="1">
      <alignment horizontal="center"/>
    </xf>
    <xf numFmtId="166" fontId="0" fillId="0" borderId="0" xfId="0" applyNumberFormat="1" applyFill="1"/>
    <xf numFmtId="9" fontId="0" fillId="0" borderId="0" xfId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9" fontId="2" fillId="0" borderId="0" xfId="1" applyFont="1" applyFill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Alignment="1">
      <alignment horizontal="center"/>
    </xf>
    <xf numFmtId="1" fontId="0" fillId="0" borderId="0" xfId="0" applyNumberFormat="1"/>
    <xf numFmtId="166" fontId="0" fillId="0" borderId="0" xfId="0" applyNumberFormat="1"/>
    <xf numFmtId="166" fontId="2" fillId="0" borderId="0" xfId="0" applyNumberFormat="1" applyFont="1" applyAlignment="1">
      <alignment horizontal="center"/>
    </xf>
    <xf numFmtId="0" fontId="0" fillId="2" borderId="0" xfId="0" applyFill="1"/>
    <xf numFmtId="2" fontId="0" fillId="0" borderId="0" xfId="0" applyNumberFormat="1"/>
    <xf numFmtId="2" fontId="0" fillId="2" borderId="0" xfId="0" applyNumberFormat="1" applyFon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2" fontId="0" fillId="3" borderId="0" xfId="0" applyNumberFormat="1" applyFont="1" applyFill="1" applyBorder="1" applyAlignment="1">
      <alignment horizontal="center"/>
    </xf>
    <xf numFmtId="1" fontId="0" fillId="3" borderId="0" xfId="0" applyNumberFormat="1" applyFont="1" applyFill="1" applyBorder="1" applyAlignment="1">
      <alignment horizontal="center"/>
    </xf>
    <xf numFmtId="9" fontId="0" fillId="2" borderId="0" xfId="1" applyFont="1" applyFill="1" applyBorder="1" applyAlignment="1">
      <alignment horizontal="center"/>
    </xf>
    <xf numFmtId="9" fontId="2" fillId="2" borderId="0" xfId="1" applyFont="1" applyFill="1" applyAlignment="1">
      <alignment horizontal="center"/>
    </xf>
    <xf numFmtId="9" fontId="5" fillId="2" borderId="0" xfId="1" applyFont="1" applyFill="1" applyAlignment="1">
      <alignment horizontal="center"/>
    </xf>
    <xf numFmtId="9" fontId="2" fillId="3" borderId="0" xfId="1" applyFont="1" applyFill="1" applyAlignment="1">
      <alignment horizontal="center"/>
    </xf>
    <xf numFmtId="9" fontId="0" fillId="3" borderId="0" xfId="1" applyFont="1" applyFill="1" applyBorder="1" applyAlignment="1">
      <alignment horizontal="center"/>
    </xf>
    <xf numFmtId="9" fontId="5" fillId="0" borderId="0" xfId="1" applyFont="1" applyFill="1" applyAlignment="1">
      <alignment horizontal="center"/>
    </xf>
    <xf numFmtId="1" fontId="0" fillId="0" borderId="0" xfId="0" applyNumberFormat="1" applyFill="1" applyBorder="1" applyAlignment="1">
      <alignment horizontal="center"/>
    </xf>
  </cellXfs>
  <cellStyles count="3">
    <cellStyle name="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alcChain" Target="calcChain.xml"/><Relationship Id="rId5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VOLL_CONE_RS_DK!$F$8</c:f>
          <c:strCache>
            <c:ptCount val="1"/>
            <c:pt idx="0">
              <c:v>CONE (fixed) price level 2020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VOLL_CONE_RS_DK!$B$18:$B$74</c:f>
              <c:strCache>
                <c:ptCount val="49"/>
                <c:pt idx="0">
                  <c:v>New coal</c:v>
                </c:pt>
                <c:pt idx="1">
                  <c:v>Coal LTE</c:v>
                </c:pt>
                <c:pt idx="2">
                  <c:v>Coal to pellets exist boiler</c:v>
                </c:pt>
                <c:pt idx="3">
                  <c:v>Coal to chips new boiler</c:v>
                </c:pt>
                <c:pt idx="4">
                  <c:v>Coal to chips exist boiler</c:v>
                </c:pt>
                <c:pt idx="5">
                  <c:v>OCGT CHP large</c:v>
                </c:pt>
                <c:pt idx="6">
                  <c:v>OCGT CHP small</c:v>
                </c:pt>
                <c:pt idx="7">
                  <c:v>OCGT CHP micro</c:v>
                </c:pt>
                <c:pt idx="8">
                  <c:v>CCGT CHP large</c:v>
                </c:pt>
                <c:pt idx="9">
                  <c:v>CCGT CHP medium</c:v>
                </c:pt>
                <c:pt idx="10">
                  <c:v>Gas engine CHP NG</c:v>
                </c:pt>
                <c:pt idx="11">
                  <c:v>Waste CHP large</c:v>
                </c:pt>
                <c:pt idx="12">
                  <c:v>Waste CHP medium</c:v>
                </c:pt>
                <c:pt idx="13">
                  <c:v>Waste CHP small</c:v>
                </c:pt>
                <c:pt idx="14">
                  <c:v>Biomass CHP chips</c:v>
                </c:pt>
                <c:pt idx="15">
                  <c:v>Biomass CHP small</c:v>
                </c:pt>
                <c:pt idx="16">
                  <c:v>Biomass CHP pellets</c:v>
                </c:pt>
                <c:pt idx="17">
                  <c:v>Biomass CHP pellets small</c:v>
                </c:pt>
                <c:pt idx="18">
                  <c:v>Biomass CHP, straw large</c:v>
                </c:pt>
                <c:pt idx="19">
                  <c:v>Biomass CHP straw medium</c:v>
                </c:pt>
                <c:pt idx="20">
                  <c:v>Biomass CHP straw small</c:v>
                </c:pt>
                <c:pt idx="21">
                  <c:v>Bio CHP extraction chips</c:v>
                </c:pt>
                <c:pt idx="22">
                  <c:v>Bio CHP extraction pellets</c:v>
                </c:pt>
                <c:pt idx="23">
                  <c:v>SOFC</c:v>
                </c:pt>
                <c:pt idx="24">
                  <c:v>PEM FC</c:v>
                </c:pt>
                <c:pt idx="25">
                  <c:v>Onshore wind</c:v>
                </c:pt>
                <c:pt idx="26">
                  <c:v>Onshore wind small</c:v>
                </c:pt>
                <c:pt idx="27">
                  <c:v>Offshore wind</c:v>
                </c:pt>
                <c:pt idx="28">
                  <c:v>Nearshore wind</c:v>
                </c:pt>
                <c:pt idx="29">
                  <c:v>PV roofotop small</c:v>
                </c:pt>
                <c:pt idx="30">
                  <c:v>PV commercial rooftop</c:v>
                </c:pt>
                <c:pt idx="31">
                  <c:v>PV utility scale</c:v>
                </c:pt>
                <c:pt idx="32">
                  <c:v>Wave power</c:v>
                </c:pt>
                <c:pt idx="33">
                  <c:v>Diesel engine</c:v>
                </c:pt>
                <c:pt idx="34">
                  <c:v>Engine, peak medium</c:v>
                </c:pt>
                <c:pt idx="35">
                  <c:v>OCGT gas</c:v>
                </c:pt>
                <c:pt idx="36">
                  <c:v>OCGT oil</c:v>
                </c:pt>
                <c:pt idx="37">
                  <c:v>CC LTE gas</c:v>
                </c:pt>
                <c:pt idx="38">
                  <c:v>OCGT LTE</c:v>
                </c:pt>
                <c:pt idx="39">
                  <c:v>GE LTE gas</c:v>
                </c:pt>
                <c:pt idx="40">
                  <c:v>DSR low FR</c:v>
                </c:pt>
                <c:pt idx="41">
                  <c:v>DSR high FR</c:v>
                </c:pt>
                <c:pt idx="42">
                  <c:v>DSR low paper SE</c:v>
                </c:pt>
                <c:pt idx="43">
                  <c:v>DSR low cooling SE</c:v>
                </c:pt>
                <c:pt idx="44">
                  <c:v>DSR low ventilation SE</c:v>
                </c:pt>
                <c:pt idx="45">
                  <c:v>DSR low cement SE</c:v>
                </c:pt>
                <c:pt idx="46">
                  <c:v>Nuclear</c:v>
                </c:pt>
                <c:pt idx="47">
                  <c:v>CAES</c:v>
                </c:pt>
                <c:pt idx="48">
                  <c:v>Battery</c:v>
                </c:pt>
              </c:strCache>
            </c:strRef>
          </c:cat>
          <c:val>
            <c:numRef>
              <c:f>VOLL_CONE_RS_DK!$Q$18:$Q$74</c:f>
              <c:numCache>
                <c:formatCode>0</c:formatCode>
                <c:ptCount val="49"/>
                <c:pt idx="0">
                  <c:v>204413.04466078739</c:v>
                </c:pt>
                <c:pt idx="1">
                  <c:v>64380.122150463205</c:v>
                </c:pt>
                <c:pt idx="2">
                  <c:v>58631.523940760009</c:v>
                </c:pt>
                <c:pt idx="3">
                  <c:v>258401.76459114469</c:v>
                </c:pt>
                <c:pt idx="4">
                  <c:v>193617.83642852958</c:v>
                </c:pt>
                <c:pt idx="5">
                  <c:v>60112.288540874135</c:v>
                </c:pt>
                <c:pt idx="6">
                  <c:v>69298.064959058189</c:v>
                </c:pt>
                <c:pt idx="7">
                  <c:v>104263.50289657393</c:v>
                </c:pt>
                <c:pt idx="8">
                  <c:v>99940.801452560816</c:v>
                </c:pt>
                <c:pt idx="9">
                  <c:v>127108.23459564967</c:v>
                </c:pt>
                <c:pt idx="10">
                  <c:v>75724.583368139036</c:v>
                </c:pt>
                <c:pt idx="11">
                  <c:v>871126.60708991543</c:v>
                </c:pt>
                <c:pt idx="12">
                  <c:v>955010.13806560519</c:v>
                </c:pt>
                <c:pt idx="13">
                  <c:v>1232422.655446928</c:v>
                </c:pt>
                <c:pt idx="14">
                  <c:v>427708.33872683847</c:v>
                </c:pt>
                <c:pt idx="15">
                  <c:v>773806.54923995584</c:v>
                </c:pt>
                <c:pt idx="16">
                  <c:v>361660.51284825819</c:v>
                </c:pt>
                <c:pt idx="17">
                  <c:v>747979.89818864141</c:v>
                </c:pt>
                <c:pt idx="18">
                  <c:v>427047.93464132358</c:v>
                </c:pt>
                <c:pt idx="19">
                  <c:v>427739.44014397368</c:v>
                </c:pt>
                <c:pt idx="20">
                  <c:v>914677.21608347655</c:v>
                </c:pt>
                <c:pt idx="21">
                  <c:v>293766.16142926965</c:v>
                </c:pt>
                <c:pt idx="22">
                  <c:v>247118.14878735479</c:v>
                </c:pt>
                <c:pt idx="23">
                  <c:v>308059.67857352481</c:v>
                </c:pt>
                <c:pt idx="24">
                  <c:v>233340.3918995382</c:v>
                </c:pt>
                <c:pt idx="25">
                  <c:v>443318.46159217553</c:v>
                </c:pt>
                <c:pt idx="26">
                  <c:v>3537599.2849553511</c:v>
                </c:pt>
                <c:pt idx="27">
                  <c:v>577209.25475039531</c:v>
                </c:pt>
                <c:pt idx="28">
                  <c:v>512296.57481163711</c:v>
                </c:pt>
                <c:pt idx="29">
                  <c:v>891750.88929036178</c:v>
                </c:pt>
                <c:pt idx="30">
                  <c:v>600909.63246619888</c:v>
                </c:pt>
                <c:pt idx="31">
                  <c:v>364603.0313320572</c:v>
                </c:pt>
                <c:pt idx="32">
                  <c:v>0</c:v>
                </c:pt>
                <c:pt idx="33">
                  <c:v>34990.177365846401</c:v>
                </c:pt>
                <c:pt idx="34">
                  <c:v>42572.514864528071</c:v>
                </c:pt>
                <c:pt idx="35">
                  <c:v>42093.635514759044</c:v>
                </c:pt>
                <c:pt idx="36">
                  <c:v>35629.600082397832</c:v>
                </c:pt>
                <c:pt idx="37">
                  <c:v>43461.693847995957</c:v>
                </c:pt>
                <c:pt idx="38">
                  <c:v>22184.675579510189</c:v>
                </c:pt>
                <c:pt idx="39">
                  <c:v>12030.101598217034</c:v>
                </c:pt>
                <c:pt idx="40">
                  <c:v>17068.110325734968</c:v>
                </c:pt>
                <c:pt idx="41">
                  <c:v>284468.50542891613</c:v>
                </c:pt>
                <c:pt idx="42">
                  <c:v>49462.759245816269</c:v>
                </c:pt>
                <c:pt idx="43">
                  <c:v>1772415.53964175</c:v>
                </c:pt>
                <c:pt idx="44">
                  <c:v>1772415.53964175</c:v>
                </c:pt>
                <c:pt idx="45">
                  <c:v>49462.759245816269</c:v>
                </c:pt>
                <c:pt idx="46">
                  <c:v>625536.28780133615</c:v>
                </c:pt>
                <c:pt idx="47">
                  <c:v>84573.337791077298</c:v>
                </c:pt>
                <c:pt idx="48">
                  <c:v>233315.52855125509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6-4C38-8CF1-56B6FF8ED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8154368"/>
        <c:axId val="668154696"/>
      </c:barChart>
      <c:catAx>
        <c:axId val="66815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68154696"/>
        <c:crosses val="autoZero"/>
        <c:auto val="1"/>
        <c:lblAlgn val="ctr"/>
        <c:lblOffset val="100"/>
        <c:tickLblSkip val="1"/>
        <c:noMultiLvlLbl val="0"/>
      </c:catAx>
      <c:valAx>
        <c:axId val="668154696"/>
        <c:scaling>
          <c:orientation val="minMax"/>
          <c:max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€/MW/year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6815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LOLE target for various potential reference technologies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VOLL_CONE_RS_DK!$B$18:$B$74</c:f>
              <c:strCache>
                <c:ptCount val="49"/>
                <c:pt idx="0">
                  <c:v>New coal</c:v>
                </c:pt>
                <c:pt idx="1">
                  <c:v>Coal LTE</c:v>
                </c:pt>
                <c:pt idx="2">
                  <c:v>Coal to pellets exist boiler</c:v>
                </c:pt>
                <c:pt idx="3">
                  <c:v>Coal to chips new boiler</c:v>
                </c:pt>
                <c:pt idx="4">
                  <c:v>Coal to chips exist boiler</c:v>
                </c:pt>
                <c:pt idx="5">
                  <c:v>OCGT CHP large</c:v>
                </c:pt>
                <c:pt idx="6">
                  <c:v>OCGT CHP small</c:v>
                </c:pt>
                <c:pt idx="7">
                  <c:v>OCGT CHP micro</c:v>
                </c:pt>
                <c:pt idx="8">
                  <c:v>CCGT CHP large</c:v>
                </c:pt>
                <c:pt idx="9">
                  <c:v>CCGT CHP medium</c:v>
                </c:pt>
                <c:pt idx="10">
                  <c:v>Gas engine CHP NG</c:v>
                </c:pt>
                <c:pt idx="11">
                  <c:v>Waste CHP large</c:v>
                </c:pt>
                <c:pt idx="12">
                  <c:v>Waste CHP medium</c:v>
                </c:pt>
                <c:pt idx="13">
                  <c:v>Waste CHP small</c:v>
                </c:pt>
                <c:pt idx="14">
                  <c:v>Biomass CHP chips</c:v>
                </c:pt>
                <c:pt idx="15">
                  <c:v>Biomass CHP small</c:v>
                </c:pt>
                <c:pt idx="16">
                  <c:v>Biomass CHP pellets</c:v>
                </c:pt>
                <c:pt idx="17">
                  <c:v>Biomass CHP pellets small</c:v>
                </c:pt>
                <c:pt idx="18">
                  <c:v>Biomass CHP, straw large</c:v>
                </c:pt>
                <c:pt idx="19">
                  <c:v>Biomass CHP straw medium</c:v>
                </c:pt>
                <c:pt idx="20">
                  <c:v>Biomass CHP straw small</c:v>
                </c:pt>
                <c:pt idx="21">
                  <c:v>Bio CHP extraction chips</c:v>
                </c:pt>
                <c:pt idx="22">
                  <c:v>Bio CHP extraction pellets</c:v>
                </c:pt>
                <c:pt idx="23">
                  <c:v>SOFC</c:v>
                </c:pt>
                <c:pt idx="24">
                  <c:v>PEM FC</c:v>
                </c:pt>
                <c:pt idx="25">
                  <c:v>Onshore wind</c:v>
                </c:pt>
                <c:pt idx="26">
                  <c:v>Onshore wind small</c:v>
                </c:pt>
                <c:pt idx="27">
                  <c:v>Offshore wind</c:v>
                </c:pt>
                <c:pt idx="28">
                  <c:v>Nearshore wind</c:v>
                </c:pt>
                <c:pt idx="29">
                  <c:v>PV roofotop small</c:v>
                </c:pt>
                <c:pt idx="30">
                  <c:v>PV commercial rooftop</c:v>
                </c:pt>
                <c:pt idx="31">
                  <c:v>PV utility scale</c:v>
                </c:pt>
                <c:pt idx="32">
                  <c:v>Wave power</c:v>
                </c:pt>
                <c:pt idx="33">
                  <c:v>Diesel engine</c:v>
                </c:pt>
                <c:pt idx="34">
                  <c:v>Engine, peak medium</c:v>
                </c:pt>
                <c:pt idx="35">
                  <c:v>OCGT gas</c:v>
                </c:pt>
                <c:pt idx="36">
                  <c:v>OCGT oil</c:v>
                </c:pt>
                <c:pt idx="37">
                  <c:v>CC LTE gas</c:v>
                </c:pt>
                <c:pt idx="38">
                  <c:v>OCGT LTE</c:v>
                </c:pt>
                <c:pt idx="39">
                  <c:v>GE LTE gas</c:v>
                </c:pt>
                <c:pt idx="40">
                  <c:v>DSR low FR</c:v>
                </c:pt>
                <c:pt idx="41">
                  <c:v>DSR high FR</c:v>
                </c:pt>
                <c:pt idx="42">
                  <c:v>DSR low paper SE</c:v>
                </c:pt>
                <c:pt idx="43">
                  <c:v>DSR low cooling SE</c:v>
                </c:pt>
                <c:pt idx="44">
                  <c:v>DSR low ventilation SE</c:v>
                </c:pt>
                <c:pt idx="45">
                  <c:v>DSR low cement SE</c:v>
                </c:pt>
                <c:pt idx="46">
                  <c:v>Nuclear</c:v>
                </c:pt>
                <c:pt idx="47">
                  <c:v>CAES</c:v>
                </c:pt>
                <c:pt idx="48">
                  <c:v>Battery</c:v>
                </c:pt>
              </c:strCache>
            </c:strRef>
          </c:cat>
          <c:val>
            <c:numRef>
              <c:f>VOLL_CONE_RS_DK!$R$18:$R$74</c:f>
              <c:numCache>
                <c:formatCode>0.0</c:formatCode>
                <c:ptCount val="49"/>
                <c:pt idx="0">
                  <c:v>8.7521677167980805</c:v>
                </c:pt>
                <c:pt idx="1">
                  <c:v>2.7565052300054647</c:v>
                </c:pt>
                <c:pt idx="2">
                  <c:v>2.5103727204520809</c:v>
                </c:pt>
                <c:pt idx="3">
                  <c:v>11.063753713816252</c:v>
                </c:pt>
                <c:pt idx="4">
                  <c:v>8.2899590884629042</c:v>
                </c:pt>
                <c:pt idx="5">
                  <c:v>2.5737732737328294</c:v>
                </c:pt>
                <c:pt idx="6">
                  <c:v>2.9670723215228936</c:v>
                </c:pt>
                <c:pt idx="7">
                  <c:v>4.4641557274682517</c:v>
                </c:pt>
                <c:pt idx="8">
                  <c:v>4.2790745449515981</c:v>
                </c:pt>
                <c:pt idx="9">
                  <c:v>5.4422778605608624</c:v>
                </c:pt>
                <c:pt idx="10">
                  <c:v>3.2422307246703208</c:v>
                </c:pt>
                <c:pt idx="11">
                  <c:v>37.298236912757872</c:v>
                </c:pt>
                <c:pt idx="12">
                  <c:v>40.889801888441141</c:v>
                </c:pt>
                <c:pt idx="13">
                  <c:v>52.767521741836859</c:v>
                </c:pt>
                <c:pt idx="14">
                  <c:v>18.312799560430726</c:v>
                </c:pt>
                <c:pt idx="15">
                  <c:v>33.13137236688317</c:v>
                </c:pt>
                <c:pt idx="16">
                  <c:v>15.484889774250135</c:v>
                </c:pt>
                <c:pt idx="17">
                  <c:v>32.025576100605626</c:v>
                </c:pt>
                <c:pt idx="18">
                  <c:v>18.284523638378509</c:v>
                </c:pt>
                <c:pt idx="19">
                  <c:v>18.314131201566688</c:v>
                </c:pt>
                <c:pt idx="20">
                  <c:v>39.162903792079888</c:v>
                </c:pt>
                <c:pt idx="21">
                  <c:v>12.577918980735971</c:v>
                </c:pt>
                <c:pt idx="22">
                  <c:v>10.580633381987317</c:v>
                </c:pt>
                <c:pt idx="23">
                  <c:v>13.189911525130803</c:v>
                </c:pt>
                <c:pt idx="24">
                  <c:v>9.9907236761583889</c:v>
                </c:pt>
                <c:pt idx="25">
                  <c:v>18.981164016446595</c:v>
                </c:pt>
                <c:pt idx="26">
                  <c:v>151.4661762811343</c:v>
                </c:pt>
                <c:pt idx="27">
                  <c:v>24.713844528106005</c:v>
                </c:pt>
                <c:pt idx="28">
                  <c:v>21.934537254866072</c:v>
                </c:pt>
                <c:pt idx="29">
                  <c:v>38.181288075937907</c:v>
                </c:pt>
                <c:pt idx="30">
                  <c:v>25.72860207973093</c:v>
                </c:pt>
                <c:pt idx="31">
                  <c:v>15.610876916228886</c:v>
                </c:pt>
                <c:pt idx="32">
                  <c:v>0</c:v>
                </c:pt>
                <c:pt idx="33">
                  <c:v>1.4981426515836533</c:v>
                </c:pt>
                <c:pt idx="34">
                  <c:v>1.8227887111536445</c:v>
                </c:pt>
                <c:pt idx="35">
                  <c:v>1.802284968879051</c:v>
                </c:pt>
                <c:pt idx="36">
                  <c:v>1.5255202334130107</c:v>
                </c:pt>
                <c:pt idx="37">
                  <c:v>1.8608598802733902</c:v>
                </c:pt>
                <c:pt idx="38">
                  <c:v>0.94986110958247649</c:v>
                </c:pt>
                <c:pt idx="39">
                  <c:v>0.51508193624549947</c:v>
                </c:pt>
                <c:pt idx="40">
                  <c:v>0.73078978118807769</c:v>
                </c:pt>
                <c:pt idx="41">
                  <c:v>12.179829686467961</c:v>
                </c:pt>
                <c:pt idx="42">
                  <c:v>2.1178020481685702</c:v>
                </c:pt>
                <c:pt idx="43">
                  <c:v>75.887906726040441</c:v>
                </c:pt>
                <c:pt idx="44">
                  <c:v>75.887906726040441</c:v>
                </c:pt>
                <c:pt idx="45">
                  <c:v>2.1178020481685702</c:v>
                </c:pt>
                <c:pt idx="46">
                  <c:v>26.783019219080199</c:v>
                </c:pt>
                <c:pt idx="47">
                  <c:v>3.6210998077214129</c:v>
                </c:pt>
                <c:pt idx="48">
                  <c:v>9.9896591247520146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0-4592-AF47-9230554E0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899024"/>
        <c:axId val="479899352"/>
      </c:barChart>
      <c:catAx>
        <c:axId val="47989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79899352"/>
        <c:crosses val="autoZero"/>
        <c:auto val="1"/>
        <c:lblAlgn val="ctr"/>
        <c:lblOffset val="100"/>
        <c:tickLblSkip val="1"/>
        <c:noMultiLvlLbl val="0"/>
      </c:catAx>
      <c:valAx>
        <c:axId val="479899352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LOLE target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79899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VOLL_CONE_RS_DK!$F$9</c:f>
          <c:strCache>
            <c:ptCount val="1"/>
            <c:pt idx="0">
              <c:v>CONE (variable) price level 2020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>
              <a:noFill/>
            </a:ln>
            <a:effectLst/>
          </c:spPr>
          <c:invertIfNegative val="0"/>
          <c:cat>
            <c:strRef>
              <c:f>VOLL_CONE_RS_DK!$B$18:$B$74</c:f>
              <c:strCache>
                <c:ptCount val="49"/>
                <c:pt idx="0">
                  <c:v>New coal</c:v>
                </c:pt>
                <c:pt idx="1">
                  <c:v>Coal LTE</c:v>
                </c:pt>
                <c:pt idx="2">
                  <c:v>Coal to pellets exist boiler</c:v>
                </c:pt>
                <c:pt idx="3">
                  <c:v>Coal to chips new boiler</c:v>
                </c:pt>
                <c:pt idx="4">
                  <c:v>Coal to chips exist boiler</c:v>
                </c:pt>
                <c:pt idx="5">
                  <c:v>OCGT CHP large</c:v>
                </c:pt>
                <c:pt idx="6">
                  <c:v>OCGT CHP small</c:v>
                </c:pt>
                <c:pt idx="7">
                  <c:v>OCGT CHP micro</c:v>
                </c:pt>
                <c:pt idx="8">
                  <c:v>CCGT CHP large</c:v>
                </c:pt>
                <c:pt idx="9">
                  <c:v>CCGT CHP medium</c:v>
                </c:pt>
                <c:pt idx="10">
                  <c:v>Gas engine CHP NG</c:v>
                </c:pt>
                <c:pt idx="11">
                  <c:v>Waste CHP large</c:v>
                </c:pt>
                <c:pt idx="12">
                  <c:v>Waste CHP medium</c:v>
                </c:pt>
                <c:pt idx="13">
                  <c:v>Waste CHP small</c:v>
                </c:pt>
                <c:pt idx="14">
                  <c:v>Biomass CHP chips</c:v>
                </c:pt>
                <c:pt idx="15">
                  <c:v>Biomass CHP small</c:v>
                </c:pt>
                <c:pt idx="16">
                  <c:v>Biomass CHP pellets</c:v>
                </c:pt>
                <c:pt idx="17">
                  <c:v>Biomass CHP pellets small</c:v>
                </c:pt>
                <c:pt idx="18">
                  <c:v>Biomass CHP, straw large</c:v>
                </c:pt>
                <c:pt idx="19">
                  <c:v>Biomass CHP straw medium</c:v>
                </c:pt>
                <c:pt idx="20">
                  <c:v>Biomass CHP straw small</c:v>
                </c:pt>
                <c:pt idx="21">
                  <c:v>Bio CHP extraction chips</c:v>
                </c:pt>
                <c:pt idx="22">
                  <c:v>Bio CHP extraction pellets</c:v>
                </c:pt>
                <c:pt idx="23">
                  <c:v>SOFC</c:v>
                </c:pt>
                <c:pt idx="24">
                  <c:v>PEM FC</c:v>
                </c:pt>
                <c:pt idx="25">
                  <c:v>Onshore wind</c:v>
                </c:pt>
                <c:pt idx="26">
                  <c:v>Onshore wind small</c:v>
                </c:pt>
                <c:pt idx="27">
                  <c:v>Offshore wind</c:v>
                </c:pt>
                <c:pt idx="28">
                  <c:v>Nearshore wind</c:v>
                </c:pt>
                <c:pt idx="29">
                  <c:v>PV roofotop small</c:v>
                </c:pt>
                <c:pt idx="30">
                  <c:v>PV commercial rooftop</c:v>
                </c:pt>
                <c:pt idx="31">
                  <c:v>PV utility scale</c:v>
                </c:pt>
                <c:pt idx="32">
                  <c:v>Wave power</c:v>
                </c:pt>
                <c:pt idx="33">
                  <c:v>Diesel engine</c:v>
                </c:pt>
                <c:pt idx="34">
                  <c:v>Engine, peak medium</c:v>
                </c:pt>
                <c:pt idx="35">
                  <c:v>OCGT gas</c:v>
                </c:pt>
                <c:pt idx="36">
                  <c:v>OCGT oil</c:v>
                </c:pt>
                <c:pt idx="37">
                  <c:v>CC LTE gas</c:v>
                </c:pt>
                <c:pt idx="38">
                  <c:v>OCGT LTE</c:v>
                </c:pt>
                <c:pt idx="39">
                  <c:v>GE LTE gas</c:v>
                </c:pt>
                <c:pt idx="40">
                  <c:v>DSR low FR</c:v>
                </c:pt>
                <c:pt idx="41">
                  <c:v>DSR high FR</c:v>
                </c:pt>
                <c:pt idx="42">
                  <c:v>DSR low paper SE</c:v>
                </c:pt>
                <c:pt idx="43">
                  <c:v>DSR low cooling SE</c:v>
                </c:pt>
                <c:pt idx="44">
                  <c:v>DSR low ventilation SE</c:v>
                </c:pt>
                <c:pt idx="45">
                  <c:v>DSR low cement SE</c:v>
                </c:pt>
                <c:pt idx="46">
                  <c:v>Nuclear</c:v>
                </c:pt>
                <c:pt idx="47">
                  <c:v>CAES</c:v>
                </c:pt>
                <c:pt idx="48">
                  <c:v>Battery</c:v>
                </c:pt>
              </c:strCache>
            </c:strRef>
          </c:cat>
          <c:val>
            <c:numRef>
              <c:f>VOLL_CONE_RS_DK!$W$18:$W$74</c:f>
              <c:numCache>
                <c:formatCode>0</c:formatCode>
                <c:ptCount val="49"/>
                <c:pt idx="0">
                  <c:v>100.71034725400901</c:v>
                </c:pt>
                <c:pt idx="1">
                  <c:v>148.06765877738485</c:v>
                </c:pt>
                <c:pt idx="2">
                  <c:v>106.51636050202366</c:v>
                </c:pt>
                <c:pt idx="3">
                  <c:v>84.841992883535397</c:v>
                </c:pt>
                <c:pt idx="4">
                  <c:v>88.642117438756344</c:v>
                </c:pt>
                <c:pt idx="5">
                  <c:v>86.487205190090521</c:v>
                </c:pt>
                <c:pt idx="6">
                  <c:v>93.351584696708812</c:v>
                </c:pt>
                <c:pt idx="7">
                  <c:v>130.25822814816399</c:v>
                </c:pt>
                <c:pt idx="8">
                  <c:v>94.907615866634131</c:v>
                </c:pt>
                <c:pt idx="9">
                  <c:v>81.204348322550231</c:v>
                </c:pt>
                <c:pt idx="10">
                  <c:v>73.199666723795659</c:v>
                </c:pt>
                <c:pt idx="11">
                  <c:v>35.481294358174033</c:v>
                </c:pt>
                <c:pt idx="12">
                  <c:v>32.080480062125282</c:v>
                </c:pt>
                <c:pt idx="13">
                  <c:v>33.214842154199047</c:v>
                </c:pt>
                <c:pt idx="14">
                  <c:v>30.80144457011162</c:v>
                </c:pt>
                <c:pt idx="15">
                  <c:v>30.529106432131808</c:v>
                </c:pt>
                <c:pt idx="16">
                  <c:v>55.970875824858432</c:v>
                </c:pt>
                <c:pt idx="17">
                  <c:v>68.821159573545629</c:v>
                </c:pt>
                <c:pt idx="18">
                  <c:v>34.416394608279042</c:v>
                </c:pt>
                <c:pt idx="19">
                  <c:v>35.562654615615003</c:v>
                </c:pt>
                <c:pt idx="20">
                  <c:v>-33.37949649793871</c:v>
                </c:pt>
                <c:pt idx="21">
                  <c:v>70.695311171712277</c:v>
                </c:pt>
                <c:pt idx="22">
                  <c:v>87.087967850484375</c:v>
                </c:pt>
                <c:pt idx="23">
                  <c:v>57.819462684640911</c:v>
                </c:pt>
                <c:pt idx="24">
                  <c:v>138.76863352006126</c:v>
                </c:pt>
                <c:pt idx="25">
                  <c:v>1.98</c:v>
                </c:pt>
                <c:pt idx="26">
                  <c:v>0</c:v>
                </c:pt>
                <c:pt idx="27">
                  <c:v>3.89</c:v>
                </c:pt>
                <c:pt idx="28">
                  <c:v>3.89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10.63</c:v>
                </c:pt>
                <c:pt idx="33">
                  <c:v>225.08695654563371</c:v>
                </c:pt>
                <c:pt idx="34">
                  <c:v>165.85382248119123</c:v>
                </c:pt>
                <c:pt idx="35">
                  <c:v>146.61219265042601</c:v>
                </c:pt>
                <c:pt idx="36">
                  <c:v>190.13069388706336</c:v>
                </c:pt>
                <c:pt idx="37">
                  <c:v>98.200366773129872</c:v>
                </c:pt>
                <c:pt idx="38">
                  <c:v>110.83510222196333</c:v>
                </c:pt>
                <c:pt idx="39">
                  <c:v>80.207708042852531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19.400134138228665</c:v>
                </c:pt>
                <c:pt idx="47">
                  <c:v>101.73507888795585</c:v>
                </c:pt>
                <c:pt idx="48">
                  <c:v>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9-4F63-B362-3EF6B22C2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2819096"/>
        <c:axId val="672817128"/>
      </c:barChart>
      <c:catAx>
        <c:axId val="67281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72817128"/>
        <c:crosses val="autoZero"/>
        <c:auto val="1"/>
        <c:lblAlgn val="ctr"/>
        <c:lblOffset val="100"/>
        <c:tickLblSkip val="1"/>
        <c:noMultiLvlLbl val="0"/>
      </c:catAx>
      <c:valAx>
        <c:axId val="67281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7281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Total</a:t>
            </a:r>
            <a:r>
              <a:rPr lang="da-DK" baseline="0"/>
              <a:t> derating factor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VOLL_CONE_RS_DK!$B$18:$B$74</c:f>
              <c:strCache>
                <c:ptCount val="49"/>
                <c:pt idx="0">
                  <c:v>New coal</c:v>
                </c:pt>
                <c:pt idx="1">
                  <c:v>Coal LTE</c:v>
                </c:pt>
                <c:pt idx="2">
                  <c:v>Coal to pellets exist boiler</c:v>
                </c:pt>
                <c:pt idx="3">
                  <c:v>Coal to chips new boiler</c:v>
                </c:pt>
                <c:pt idx="4">
                  <c:v>Coal to chips exist boiler</c:v>
                </c:pt>
                <c:pt idx="5">
                  <c:v>OCGT CHP large</c:v>
                </c:pt>
                <c:pt idx="6">
                  <c:v>OCGT CHP small</c:v>
                </c:pt>
                <c:pt idx="7">
                  <c:v>OCGT CHP micro</c:v>
                </c:pt>
                <c:pt idx="8">
                  <c:v>CCGT CHP large</c:v>
                </c:pt>
                <c:pt idx="9">
                  <c:v>CCGT CHP medium</c:v>
                </c:pt>
                <c:pt idx="10">
                  <c:v>Gas engine CHP NG</c:v>
                </c:pt>
                <c:pt idx="11">
                  <c:v>Waste CHP large</c:v>
                </c:pt>
                <c:pt idx="12">
                  <c:v>Waste CHP medium</c:v>
                </c:pt>
                <c:pt idx="13">
                  <c:v>Waste CHP small</c:v>
                </c:pt>
                <c:pt idx="14">
                  <c:v>Biomass CHP chips</c:v>
                </c:pt>
                <c:pt idx="15">
                  <c:v>Biomass CHP small</c:v>
                </c:pt>
                <c:pt idx="16">
                  <c:v>Biomass CHP pellets</c:v>
                </c:pt>
                <c:pt idx="17">
                  <c:v>Biomass CHP pellets small</c:v>
                </c:pt>
                <c:pt idx="18">
                  <c:v>Biomass CHP, straw large</c:v>
                </c:pt>
                <c:pt idx="19">
                  <c:v>Biomass CHP straw medium</c:v>
                </c:pt>
                <c:pt idx="20">
                  <c:v>Biomass CHP straw small</c:v>
                </c:pt>
                <c:pt idx="21">
                  <c:v>Bio CHP extraction chips</c:v>
                </c:pt>
                <c:pt idx="22">
                  <c:v>Bio CHP extraction pellets</c:v>
                </c:pt>
                <c:pt idx="23">
                  <c:v>SOFC</c:v>
                </c:pt>
                <c:pt idx="24">
                  <c:v>PEM FC</c:v>
                </c:pt>
                <c:pt idx="25">
                  <c:v>Onshore wind</c:v>
                </c:pt>
                <c:pt idx="26">
                  <c:v>Onshore wind small</c:v>
                </c:pt>
                <c:pt idx="27">
                  <c:v>Offshore wind</c:v>
                </c:pt>
                <c:pt idx="28">
                  <c:v>Nearshore wind</c:v>
                </c:pt>
                <c:pt idx="29">
                  <c:v>PV roofotop small</c:v>
                </c:pt>
                <c:pt idx="30">
                  <c:v>PV commercial rooftop</c:v>
                </c:pt>
                <c:pt idx="31">
                  <c:v>PV utility scale</c:v>
                </c:pt>
                <c:pt idx="32">
                  <c:v>Wave power</c:v>
                </c:pt>
                <c:pt idx="33">
                  <c:v>Diesel engine</c:v>
                </c:pt>
                <c:pt idx="34">
                  <c:v>Engine, peak medium</c:v>
                </c:pt>
                <c:pt idx="35">
                  <c:v>OCGT gas</c:v>
                </c:pt>
                <c:pt idx="36">
                  <c:v>OCGT oil</c:v>
                </c:pt>
                <c:pt idx="37">
                  <c:v>CC LTE gas</c:v>
                </c:pt>
                <c:pt idx="38">
                  <c:v>OCGT LTE</c:v>
                </c:pt>
                <c:pt idx="39">
                  <c:v>GE LTE gas</c:v>
                </c:pt>
                <c:pt idx="40">
                  <c:v>DSR low FR</c:v>
                </c:pt>
                <c:pt idx="41">
                  <c:v>DSR high FR</c:v>
                </c:pt>
                <c:pt idx="42">
                  <c:v>DSR low paper SE</c:v>
                </c:pt>
                <c:pt idx="43">
                  <c:v>DSR low cooling SE</c:v>
                </c:pt>
                <c:pt idx="44">
                  <c:v>DSR low ventilation SE</c:v>
                </c:pt>
                <c:pt idx="45">
                  <c:v>DSR low cement SE</c:v>
                </c:pt>
                <c:pt idx="46">
                  <c:v>Nuclear</c:v>
                </c:pt>
                <c:pt idx="47">
                  <c:v>CAES</c:v>
                </c:pt>
                <c:pt idx="48">
                  <c:v>Battery</c:v>
                </c:pt>
              </c:strCache>
            </c:strRef>
          </c:cat>
          <c:val>
            <c:numRef>
              <c:f>VOLL_CONE_RS_DK!$N$18:$N$74</c:f>
              <c:numCache>
                <c:formatCode>0%</c:formatCode>
                <c:ptCount val="49"/>
                <c:pt idx="0">
                  <c:v>0.95</c:v>
                </c:pt>
                <c:pt idx="1">
                  <c:v>0.9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0.93192307692307685</c:v>
                </c:pt>
                <c:pt idx="6">
                  <c:v>0.93192307692307685</c:v>
                </c:pt>
                <c:pt idx="7">
                  <c:v>0.95</c:v>
                </c:pt>
                <c:pt idx="8">
                  <c:v>0.93153846153846154</c:v>
                </c:pt>
                <c:pt idx="9">
                  <c:v>0.93153846153846154</c:v>
                </c:pt>
                <c:pt idx="10">
                  <c:v>0.95461538461538464</c:v>
                </c:pt>
                <c:pt idx="11">
                  <c:v>0.94865384615384618</c:v>
                </c:pt>
                <c:pt idx="12">
                  <c:v>0.94038461538461537</c:v>
                </c:pt>
                <c:pt idx="13">
                  <c:v>0.93211538461538457</c:v>
                </c:pt>
                <c:pt idx="14">
                  <c:v>0.91230769230769226</c:v>
                </c:pt>
                <c:pt idx="15">
                  <c:v>0.91230769230769226</c:v>
                </c:pt>
                <c:pt idx="16">
                  <c:v>0.91230769230769226</c:v>
                </c:pt>
                <c:pt idx="17">
                  <c:v>0.91230769230769226</c:v>
                </c:pt>
                <c:pt idx="18">
                  <c:v>0.91230769230769226</c:v>
                </c:pt>
                <c:pt idx="19">
                  <c:v>0.91230769230769226</c:v>
                </c:pt>
                <c:pt idx="20">
                  <c:v>0.91230769230769226</c:v>
                </c:pt>
                <c:pt idx="21">
                  <c:v>0.91230769230769226</c:v>
                </c:pt>
                <c:pt idx="22">
                  <c:v>0.91230769230769226</c:v>
                </c:pt>
                <c:pt idx="23">
                  <c:v>0.9</c:v>
                </c:pt>
                <c:pt idx="24">
                  <c:v>0.9</c:v>
                </c:pt>
                <c:pt idx="25">
                  <c:v>0.20547945205479451</c:v>
                </c:pt>
                <c:pt idx="26">
                  <c:v>0.11415525114155251</c:v>
                </c:pt>
                <c:pt idx="27">
                  <c:v>0.27397260273972601</c:v>
                </c:pt>
                <c:pt idx="28">
                  <c:v>0.25399543378995432</c:v>
                </c:pt>
                <c:pt idx="29">
                  <c:v>6.6894977168949765E-2</c:v>
                </c:pt>
                <c:pt idx="30">
                  <c:v>7.0091324200913241E-2</c:v>
                </c:pt>
                <c:pt idx="31">
                  <c:v>8.4703196347031967E-2</c:v>
                </c:pt>
                <c:pt idx="32">
                  <c:v>0.25399543378995432</c:v>
                </c:pt>
                <c:pt idx="33">
                  <c:v>0.98673076923076919</c:v>
                </c:pt>
                <c:pt idx="34">
                  <c:v>0.98942307692307696</c:v>
                </c:pt>
                <c:pt idx="35">
                  <c:v>0.98788461538461536</c:v>
                </c:pt>
                <c:pt idx="36">
                  <c:v>0.98788461538461536</c:v>
                </c:pt>
                <c:pt idx="37">
                  <c:v>0.93153846153846154</c:v>
                </c:pt>
                <c:pt idx="38">
                  <c:v>0.93192307692307685</c:v>
                </c:pt>
                <c:pt idx="39">
                  <c:v>0.95461538461538464</c:v>
                </c:pt>
                <c:pt idx="40">
                  <c:v>0.97</c:v>
                </c:pt>
                <c:pt idx="41">
                  <c:v>0.97</c:v>
                </c:pt>
                <c:pt idx="42">
                  <c:v>0.2</c:v>
                </c:pt>
                <c:pt idx="43">
                  <c:v>0.2</c:v>
                </c:pt>
                <c:pt idx="44">
                  <c:v>0.2</c:v>
                </c:pt>
                <c:pt idx="45">
                  <c:v>0.2</c:v>
                </c:pt>
                <c:pt idx="46">
                  <c:v>0.85</c:v>
                </c:pt>
                <c:pt idx="47">
                  <c:v>0.70646153846153847</c:v>
                </c:pt>
                <c:pt idx="48">
                  <c:v>6.6305128205128211E-2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E-47D4-AE0D-4672E9A9D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857040"/>
        <c:axId val="370854088"/>
      </c:barChart>
      <c:catAx>
        <c:axId val="37085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70854088"/>
        <c:crosses val="autoZero"/>
        <c:auto val="1"/>
        <c:lblAlgn val="ctr"/>
        <c:lblOffset val="100"/>
        <c:noMultiLvlLbl val="0"/>
      </c:catAx>
      <c:valAx>
        <c:axId val="37085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7085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Derated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RS_DK!#REF!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RS_DK!#REF!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04-4272-9134-597E11468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209296"/>
        <c:axId val="557203720"/>
      </c:barChart>
      <c:catAx>
        <c:axId val="55720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57203720"/>
        <c:crosses val="autoZero"/>
        <c:auto val="1"/>
        <c:lblAlgn val="ctr"/>
        <c:lblOffset val="100"/>
        <c:noMultiLvlLbl val="0"/>
      </c:catAx>
      <c:valAx>
        <c:axId val="557203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5720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1AB-412B-9C06-D31A4ADE59D6}"/>
              </c:ext>
            </c:extLst>
          </c:dPt>
          <c:cat>
            <c:strRef>
              <c:f>VOLL_CONE_RS_Comparison!$B$5:$Q$5</c:f>
              <c:strCache>
                <c:ptCount val="16"/>
                <c:pt idx="0">
                  <c:v>DK</c:v>
                </c:pt>
                <c:pt idx="1">
                  <c:v>EE</c:v>
                </c:pt>
                <c:pt idx="2">
                  <c:v>FR</c:v>
                </c:pt>
                <c:pt idx="3">
                  <c:v>CZ</c:v>
                </c:pt>
                <c:pt idx="4">
                  <c:v>IT</c:v>
                </c:pt>
                <c:pt idx="5">
                  <c:v>BE</c:v>
                </c:pt>
                <c:pt idx="6">
                  <c:v>DE</c:v>
                </c:pt>
                <c:pt idx="7">
                  <c:v>LU</c:v>
                </c:pt>
                <c:pt idx="8">
                  <c:v>IRL</c:v>
                </c:pt>
                <c:pt idx="9">
                  <c:v>SL</c:v>
                </c:pt>
                <c:pt idx="10">
                  <c:v>GR</c:v>
                </c:pt>
                <c:pt idx="11">
                  <c:v>FI</c:v>
                </c:pt>
                <c:pt idx="12">
                  <c:v>SE</c:v>
                </c:pt>
                <c:pt idx="13">
                  <c:v>PL</c:v>
                </c:pt>
                <c:pt idx="14">
                  <c:v>PT</c:v>
                </c:pt>
                <c:pt idx="15">
                  <c:v>NL</c:v>
                </c:pt>
              </c:strCache>
            </c:strRef>
          </c:cat>
          <c:val>
            <c:numRef>
              <c:f>VOLL_CONE_RS_Comparison!$B$6:$Q$6</c:f>
              <c:numCache>
                <c:formatCode>0</c:formatCode>
                <c:ptCount val="16"/>
                <c:pt idx="0">
                  <c:v>23355.704697986577</c:v>
                </c:pt>
                <c:pt idx="1">
                  <c:v>7300</c:v>
                </c:pt>
                <c:pt idx="2" formatCode="General">
                  <c:v>33000</c:v>
                </c:pt>
                <c:pt idx="3" formatCode="General">
                  <c:v>4016</c:v>
                </c:pt>
                <c:pt idx="4" formatCode="General">
                  <c:v>20000</c:v>
                </c:pt>
                <c:pt idx="5" formatCode="General">
                  <c:v>12832</c:v>
                </c:pt>
                <c:pt idx="6" formatCode="General">
                  <c:v>12240</c:v>
                </c:pt>
                <c:pt idx="7" formatCode="General">
                  <c:v>12240</c:v>
                </c:pt>
                <c:pt idx="8" formatCode="General">
                  <c:v>0</c:v>
                </c:pt>
                <c:pt idx="9" formatCode="General">
                  <c:v>10700</c:v>
                </c:pt>
                <c:pt idx="10" formatCode="General">
                  <c:v>6838</c:v>
                </c:pt>
                <c:pt idx="11" formatCode="General">
                  <c:v>8000</c:v>
                </c:pt>
                <c:pt idx="12" formatCode="General">
                  <c:v>8132</c:v>
                </c:pt>
                <c:pt idx="13" formatCode="General">
                  <c:v>17700</c:v>
                </c:pt>
                <c:pt idx="14" formatCode="General">
                  <c:v>0</c:v>
                </c:pt>
                <c:pt idx="15" formatCode="General">
                  <c:v>68887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B-412B-9C06-D31A4ADE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3514136"/>
        <c:axId val="1863513480"/>
      </c:barChart>
      <c:catAx>
        <c:axId val="186351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63513480"/>
        <c:crosses val="autoZero"/>
        <c:auto val="1"/>
        <c:lblAlgn val="ctr"/>
        <c:lblOffset val="100"/>
        <c:noMultiLvlLbl val="0"/>
      </c:catAx>
      <c:valAx>
        <c:axId val="186351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6351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CONE fixed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D0E-4D81-AFEF-047159D4D0F2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0E8-4615-BD40-BB90D037B53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98-4255-A6CA-4A60D9AD27AB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F7E-4581-9B8C-1EA18E4FF765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F7E-4581-9B8C-1EA18E4FF765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8F7-4F52-853F-B51D0E530253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8F7-4F52-853F-B51D0E530253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17D-4DCE-B00C-19DCEC15503B}"/>
              </c:ext>
            </c:extLst>
          </c:dPt>
          <c:cat>
            <c:strRef>
              <c:f>VOLL_CONE_RS_Comparison!$B$9:$Q$9</c:f>
              <c:strCache>
                <c:ptCount val="16"/>
                <c:pt idx="0">
                  <c:v>DK (OCGT)</c:v>
                </c:pt>
                <c:pt idx="1">
                  <c:v>EE (OCGT)</c:v>
                </c:pt>
                <c:pt idx="2">
                  <c:v>FR (DR)</c:v>
                </c:pt>
                <c:pt idx="3">
                  <c:v>CZ (OCGT)</c:v>
                </c:pt>
                <c:pt idx="4">
                  <c:v>IT (OCGT)</c:v>
                </c:pt>
                <c:pt idx="5">
                  <c:v>BE (DR)</c:v>
                </c:pt>
                <c:pt idx="6">
                  <c:v>DE (OCGT+DR)</c:v>
                </c:pt>
                <c:pt idx="7">
                  <c:v>LU (OCGT+DR)</c:v>
                </c:pt>
                <c:pt idx="8">
                  <c:v>IRL (OCGT)</c:v>
                </c:pt>
                <c:pt idx="9">
                  <c:v>SL (DR)</c:v>
                </c:pt>
                <c:pt idx="10">
                  <c:v>GR (DR)</c:v>
                </c:pt>
                <c:pt idx="11">
                  <c:v>FI (LTE)</c:v>
                </c:pt>
                <c:pt idx="12">
                  <c:v>SE (DR)</c:v>
                </c:pt>
                <c:pt idx="13">
                  <c:v>PL</c:v>
                </c:pt>
                <c:pt idx="14">
                  <c:v>PT</c:v>
                </c:pt>
                <c:pt idx="15">
                  <c:v>NL</c:v>
                </c:pt>
              </c:strCache>
            </c:strRef>
          </c:cat>
          <c:val>
            <c:numRef>
              <c:f>VOLL_CONE_RS_Comparison!$B$10:$Q$10</c:f>
              <c:numCache>
                <c:formatCode>0</c:formatCode>
                <c:ptCount val="16"/>
                <c:pt idx="0">
                  <c:v>42093.635514759044</c:v>
                </c:pt>
                <c:pt idx="1">
                  <c:v>63000</c:v>
                </c:pt>
                <c:pt idx="2" formatCode="General">
                  <c:v>60000</c:v>
                </c:pt>
                <c:pt idx="3" formatCode="General">
                  <c:v>57958</c:v>
                </c:pt>
                <c:pt idx="4" formatCode="General">
                  <c:v>53000</c:v>
                </c:pt>
                <c:pt idx="5" formatCode="General">
                  <c:v>30000</c:v>
                </c:pt>
                <c:pt idx="6" formatCode="General">
                  <c:v>33905</c:v>
                </c:pt>
                <c:pt idx="7" formatCode="General">
                  <c:v>33905</c:v>
                </c:pt>
                <c:pt idx="8" formatCode="General">
                  <c:v>115990</c:v>
                </c:pt>
                <c:pt idx="9" formatCode="General">
                  <c:v>21753</c:v>
                </c:pt>
                <c:pt idx="10" formatCode="General">
                  <c:v>18735</c:v>
                </c:pt>
                <c:pt idx="11" formatCode="General">
                  <c:v>17000</c:v>
                </c:pt>
                <c:pt idx="12" formatCode="General">
                  <c:v>7537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E-4D81-AFEF-047159D4D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3577440"/>
        <c:axId val="1863593840"/>
      </c:barChart>
      <c:catAx>
        <c:axId val="186357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63593840"/>
        <c:crosses val="autoZero"/>
        <c:auto val="1"/>
        <c:lblAlgn val="ctr"/>
        <c:lblOffset val="100"/>
        <c:noMultiLvlLbl val="0"/>
      </c:catAx>
      <c:valAx>
        <c:axId val="186359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86357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Reliability</a:t>
            </a:r>
            <a:r>
              <a:rPr lang="da-DK" baseline="0"/>
              <a:t> standard (RS)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VOLL_CONE_RS_Comparison!$A$14</c:f>
              <c:strCache>
                <c:ptCount val="1"/>
                <c:pt idx="0">
                  <c:v>RS decided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VOLL_CONE_RS_Comparison!$B$13:$Q$13</c:f>
              <c:strCache>
                <c:ptCount val="16"/>
                <c:pt idx="0">
                  <c:v>DK</c:v>
                </c:pt>
                <c:pt idx="1">
                  <c:v>EE</c:v>
                </c:pt>
                <c:pt idx="2">
                  <c:v>FR</c:v>
                </c:pt>
                <c:pt idx="3">
                  <c:v>CZ</c:v>
                </c:pt>
                <c:pt idx="4">
                  <c:v>IT</c:v>
                </c:pt>
                <c:pt idx="5">
                  <c:v>BE</c:v>
                </c:pt>
                <c:pt idx="6">
                  <c:v>DE</c:v>
                </c:pt>
                <c:pt idx="7">
                  <c:v>LU</c:v>
                </c:pt>
                <c:pt idx="8">
                  <c:v>IRL</c:v>
                </c:pt>
                <c:pt idx="9">
                  <c:v>SL</c:v>
                </c:pt>
                <c:pt idx="10">
                  <c:v>GR</c:v>
                </c:pt>
                <c:pt idx="11">
                  <c:v>FI</c:v>
                </c:pt>
                <c:pt idx="12">
                  <c:v>SE</c:v>
                </c:pt>
                <c:pt idx="13">
                  <c:v>PL</c:v>
                </c:pt>
                <c:pt idx="14">
                  <c:v>PT</c:v>
                </c:pt>
                <c:pt idx="15">
                  <c:v>NL</c:v>
                </c:pt>
              </c:strCache>
            </c:strRef>
          </c:cat>
          <c:val>
            <c:numRef>
              <c:f>VOLL_CONE_RS_Comparison!$B$14:$Q$14</c:f>
              <c:numCache>
                <c:formatCode>0.0</c:formatCode>
                <c:ptCount val="16"/>
                <c:pt idx="0">
                  <c:v>0</c:v>
                </c:pt>
                <c:pt idx="1">
                  <c:v>9</c:v>
                </c:pt>
                <c:pt idx="2">
                  <c:v>1.8181818181818181</c:v>
                </c:pt>
                <c:pt idx="3">
                  <c:v>15</c:v>
                </c:pt>
                <c:pt idx="4">
                  <c:v>3</c:v>
                </c:pt>
                <c:pt idx="5">
                  <c:v>3</c:v>
                </c:pt>
                <c:pt idx="6">
                  <c:v>2.77</c:v>
                </c:pt>
                <c:pt idx="7">
                  <c:v>2.77</c:v>
                </c:pt>
                <c:pt idx="8">
                  <c:v>8</c:v>
                </c:pt>
                <c:pt idx="9">
                  <c:v>0</c:v>
                </c:pt>
                <c:pt idx="10">
                  <c:v>3</c:v>
                </c:pt>
                <c:pt idx="11">
                  <c:v>2.1</c:v>
                </c:pt>
                <c:pt idx="12">
                  <c:v>0.99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7-484A-BFB6-83A69AD32110}"/>
            </c:ext>
          </c:extLst>
        </c:ser>
        <c:ser>
          <c:idx val="1"/>
          <c:order val="1"/>
          <c:tx>
            <c:strRef>
              <c:f>VOLL_CONE_RS_Comparison!$A$15</c:f>
              <c:strCache>
                <c:ptCount val="1"/>
                <c:pt idx="0">
                  <c:v>RS calculated using ACER method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/>
          </c:spPr>
          <c:invertIfNegative val="0"/>
          <c:cat>
            <c:strRef>
              <c:f>VOLL_CONE_RS_Comparison!$B$13:$Q$13</c:f>
              <c:strCache>
                <c:ptCount val="16"/>
                <c:pt idx="0">
                  <c:v>DK</c:v>
                </c:pt>
                <c:pt idx="1">
                  <c:v>EE</c:v>
                </c:pt>
                <c:pt idx="2">
                  <c:v>FR</c:v>
                </c:pt>
                <c:pt idx="3">
                  <c:v>CZ</c:v>
                </c:pt>
                <c:pt idx="4">
                  <c:v>IT</c:v>
                </c:pt>
                <c:pt idx="5">
                  <c:v>BE</c:v>
                </c:pt>
                <c:pt idx="6">
                  <c:v>DE</c:v>
                </c:pt>
                <c:pt idx="7">
                  <c:v>LU</c:v>
                </c:pt>
                <c:pt idx="8">
                  <c:v>IRL</c:v>
                </c:pt>
                <c:pt idx="9">
                  <c:v>SL</c:v>
                </c:pt>
                <c:pt idx="10">
                  <c:v>GR</c:v>
                </c:pt>
                <c:pt idx="11">
                  <c:v>FI</c:v>
                </c:pt>
                <c:pt idx="12">
                  <c:v>SE</c:v>
                </c:pt>
                <c:pt idx="13">
                  <c:v>PL</c:v>
                </c:pt>
                <c:pt idx="14">
                  <c:v>PT</c:v>
                </c:pt>
                <c:pt idx="15">
                  <c:v>NL</c:v>
                </c:pt>
              </c:strCache>
            </c:strRef>
          </c:cat>
          <c:val>
            <c:numRef>
              <c:f>VOLL_CONE_RS_Comparison!$B$15:$Q$15</c:f>
              <c:numCache>
                <c:formatCode>General</c:formatCode>
                <c:ptCount val="16"/>
                <c:pt idx="0">
                  <c:v>1.802284968879051</c:v>
                </c:pt>
                <c:pt idx="1">
                  <c:v>8.6301369863013697</c:v>
                </c:pt>
                <c:pt idx="2">
                  <c:v>1.8181818181818181</c:v>
                </c:pt>
                <c:pt idx="3">
                  <c:v>14.431772908366534</c:v>
                </c:pt>
                <c:pt idx="4">
                  <c:v>2.65</c:v>
                </c:pt>
                <c:pt idx="5">
                  <c:v>2.3379052369077309</c:v>
                </c:pt>
                <c:pt idx="6">
                  <c:v>2.7700163398692812</c:v>
                </c:pt>
                <c:pt idx="7">
                  <c:v>2.7700163398692812</c:v>
                </c:pt>
                <c:pt idx="8">
                  <c:v>0</c:v>
                </c:pt>
                <c:pt idx="9">
                  <c:v>2.0329906542056073</c:v>
                </c:pt>
                <c:pt idx="10">
                  <c:v>2.7398362094179585</c:v>
                </c:pt>
                <c:pt idx="11">
                  <c:v>2.125</c:v>
                </c:pt>
                <c:pt idx="12">
                  <c:v>0.92683226758484993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77-484A-BFB6-83A69AD32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3215056"/>
        <c:axId val="543220304"/>
      </c:barChart>
      <c:catAx>
        <c:axId val="54321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43220304"/>
        <c:crosses val="autoZero"/>
        <c:auto val="1"/>
        <c:lblAlgn val="ctr"/>
        <c:lblOffset val="100"/>
        <c:noMultiLvlLbl val="0"/>
      </c:catAx>
      <c:valAx>
        <c:axId val="54322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LOLE 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4321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0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547687</xdr:colOff>
      <xdr:row>6</xdr:row>
      <xdr:rowOff>0</xdr:rowOff>
    </xdr:from>
    <xdr:to>
      <xdr:col>54</xdr:col>
      <xdr:colOff>242887</xdr:colOff>
      <xdr:row>14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16</xdr:row>
      <xdr:rowOff>47625</xdr:rowOff>
    </xdr:from>
    <xdr:to>
      <xdr:col>6</xdr:col>
      <xdr:colOff>28575</xdr:colOff>
      <xdr:row>30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257175</xdr:colOff>
      <xdr:row>16</xdr:row>
      <xdr:rowOff>76200</xdr:rowOff>
    </xdr:from>
    <xdr:to>
      <xdr:col>12</xdr:col>
      <xdr:colOff>542925</xdr:colOff>
      <xdr:row>30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28575</xdr:colOff>
      <xdr:row>16</xdr:row>
      <xdr:rowOff>76200</xdr:rowOff>
    </xdr:from>
    <xdr:to>
      <xdr:col>19</xdr:col>
      <xdr:colOff>523875</xdr:colOff>
      <xdr:row>30</xdr:row>
      <xdr:rowOff>152400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lp@ens.dk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9"/>
  <sheetViews>
    <sheetView workbookViewId="0">
      <selection activeCell="V7" sqref="V7"/>
    </sheetView>
  </sheetViews>
  <sheetFormatPr defaultRowHeight="15" x14ac:dyDescent="0.25"/>
  <cols>
    <col min="1" max="1" width="14.7109375" customWidth="1"/>
  </cols>
  <sheetData>
    <row r="1" spans="1:22" x14ac:dyDescent="0.25">
      <c r="A1" t="s">
        <v>157</v>
      </c>
    </row>
    <row r="2" spans="1:22" x14ac:dyDescent="0.25">
      <c r="A2" t="s">
        <v>158</v>
      </c>
    </row>
    <row r="5" spans="1:22" x14ac:dyDescent="0.25">
      <c r="A5" t="s">
        <v>162</v>
      </c>
      <c r="U5" t="s">
        <v>186</v>
      </c>
    </row>
    <row r="6" spans="1:22" x14ac:dyDescent="0.25">
      <c r="E6">
        <v>2023</v>
      </c>
      <c r="F6">
        <v>2024</v>
      </c>
      <c r="G6">
        <v>2025</v>
      </c>
      <c r="H6">
        <v>2026</v>
      </c>
      <c r="I6">
        <v>2027</v>
      </c>
      <c r="J6">
        <v>2028</v>
      </c>
      <c r="K6">
        <v>2029</v>
      </c>
      <c r="L6">
        <v>2030</v>
      </c>
      <c r="M6">
        <v>2031</v>
      </c>
      <c r="N6">
        <v>2032</v>
      </c>
      <c r="O6">
        <v>2033</v>
      </c>
      <c r="P6">
        <v>2034</v>
      </c>
      <c r="Q6">
        <v>2035</v>
      </c>
      <c r="R6" t="s">
        <v>167</v>
      </c>
      <c r="U6" t="s">
        <v>185</v>
      </c>
      <c r="V6">
        <f>Year</f>
        <v>2030</v>
      </c>
    </row>
    <row r="7" spans="1:22" x14ac:dyDescent="0.25">
      <c r="A7" t="s">
        <v>151</v>
      </c>
      <c r="B7" t="s">
        <v>152</v>
      </c>
      <c r="E7">
        <v>69.180000000000007</v>
      </c>
      <c r="F7">
        <v>61.69</v>
      </c>
      <c r="G7">
        <v>41.68</v>
      </c>
      <c r="H7">
        <v>40.840000000000003</v>
      </c>
      <c r="I7">
        <v>40.01</v>
      </c>
      <c r="J7">
        <v>39.200000000000003</v>
      </c>
      <c r="K7">
        <v>38.46</v>
      </c>
      <c r="L7">
        <v>37.729999999999997</v>
      </c>
      <c r="M7">
        <v>38.119999999999997</v>
      </c>
      <c r="N7">
        <v>38.47</v>
      </c>
      <c r="O7">
        <v>38.79</v>
      </c>
      <c r="P7">
        <v>39.090000000000003</v>
      </c>
      <c r="Q7">
        <v>39.380000000000003</v>
      </c>
      <c r="R7">
        <v>95</v>
      </c>
      <c r="U7" t="s">
        <v>169</v>
      </c>
      <c r="V7" s="33">
        <f t="shared" ref="V7:V13" si="0">HLOOKUP(Year,$A$6:$Q$22,ROW(A7)-5,FALSE)*3.6/EURO_exchange_rate+$V$26*R7/1000*3.6</f>
        <v>55.783087248322161</v>
      </c>
    </row>
    <row r="8" spans="1:22" x14ac:dyDescent="0.25">
      <c r="A8" t="s">
        <v>154</v>
      </c>
      <c r="B8" t="s">
        <v>152</v>
      </c>
      <c r="E8">
        <v>103.46</v>
      </c>
      <c r="F8">
        <v>95.84</v>
      </c>
      <c r="G8">
        <v>90.9</v>
      </c>
      <c r="H8">
        <v>86.22</v>
      </c>
      <c r="I8">
        <v>82.06</v>
      </c>
      <c r="J8">
        <v>78.209999999999994</v>
      </c>
      <c r="K8">
        <v>74.95</v>
      </c>
      <c r="L8">
        <v>71.64</v>
      </c>
      <c r="M8">
        <v>72.11</v>
      </c>
      <c r="N8">
        <v>73.13</v>
      </c>
      <c r="O8">
        <v>74.069999999999993</v>
      </c>
      <c r="P8">
        <v>74.95</v>
      </c>
      <c r="Q8">
        <v>75.8</v>
      </c>
      <c r="R8">
        <v>78</v>
      </c>
      <c r="U8" t="s">
        <v>171</v>
      </c>
      <c r="V8" s="33">
        <f t="shared" si="0"/>
        <v>65.449449664429537</v>
      </c>
    </row>
    <row r="9" spans="1:22" x14ac:dyDescent="0.25">
      <c r="A9" t="s">
        <v>153</v>
      </c>
      <c r="B9" t="s">
        <v>152</v>
      </c>
      <c r="E9">
        <v>185.91</v>
      </c>
      <c r="F9">
        <v>169.13</v>
      </c>
      <c r="G9">
        <v>127.53</v>
      </c>
      <c r="H9">
        <v>122.86</v>
      </c>
      <c r="I9">
        <v>118.69</v>
      </c>
      <c r="J9">
        <v>114.84</v>
      </c>
      <c r="K9">
        <v>111.58</v>
      </c>
      <c r="L9">
        <v>108.27</v>
      </c>
      <c r="M9">
        <v>108.75</v>
      </c>
      <c r="N9">
        <v>109.76</v>
      </c>
      <c r="O9">
        <v>110.7</v>
      </c>
      <c r="P9">
        <v>111.58</v>
      </c>
      <c r="Q9">
        <v>112.44</v>
      </c>
      <c r="R9">
        <v>74</v>
      </c>
      <c r="U9" t="s">
        <v>170</v>
      </c>
      <c r="V9" s="33">
        <f t="shared" si="0"/>
        <v>81.568751677852347</v>
      </c>
    </row>
    <row r="10" spans="1:22" x14ac:dyDescent="0.25">
      <c r="A10" t="s">
        <v>155</v>
      </c>
      <c r="B10" t="s">
        <v>152</v>
      </c>
      <c r="E10">
        <v>299.83</v>
      </c>
      <c r="F10">
        <v>238.24</v>
      </c>
      <c r="G10">
        <v>111.79</v>
      </c>
      <c r="H10">
        <v>79.489999999999995</v>
      </c>
      <c r="I10">
        <v>79.34</v>
      </c>
      <c r="J10">
        <v>79.16</v>
      </c>
      <c r="K10">
        <v>79.09</v>
      </c>
      <c r="L10">
        <v>78.989999999999995</v>
      </c>
      <c r="M10">
        <v>80.150000000000006</v>
      </c>
      <c r="N10">
        <v>81.22</v>
      </c>
      <c r="O10">
        <v>82.2</v>
      </c>
      <c r="P10">
        <v>83.12</v>
      </c>
      <c r="Q10">
        <v>84.02</v>
      </c>
      <c r="R10">
        <v>57</v>
      </c>
      <c r="U10" t="s">
        <v>172</v>
      </c>
      <c r="V10" s="33">
        <f t="shared" si="0"/>
        <v>60.700348993288586</v>
      </c>
    </row>
    <row r="11" spans="1:22" x14ac:dyDescent="0.25">
      <c r="A11" t="s">
        <v>159</v>
      </c>
      <c r="B11" t="s">
        <v>152</v>
      </c>
      <c r="E11">
        <v>87.28</v>
      </c>
      <c r="F11">
        <v>62.11</v>
      </c>
      <c r="G11">
        <v>53.78</v>
      </c>
      <c r="H11">
        <v>53.8</v>
      </c>
      <c r="I11">
        <v>53.82</v>
      </c>
      <c r="J11">
        <v>53.86</v>
      </c>
      <c r="K11">
        <v>53.9</v>
      </c>
      <c r="L11">
        <v>53.93</v>
      </c>
      <c r="M11">
        <v>54.11</v>
      </c>
      <c r="N11">
        <v>54.31</v>
      </c>
      <c r="O11">
        <v>54.5</v>
      </c>
      <c r="P11">
        <v>54.7</v>
      </c>
      <c r="Q11">
        <v>54.89</v>
      </c>
      <c r="R11">
        <v>0</v>
      </c>
      <c r="U11" t="s">
        <v>173</v>
      </c>
      <c r="V11" s="33">
        <f t="shared" si="0"/>
        <v>26.06013422818792</v>
      </c>
    </row>
    <row r="12" spans="1:22" x14ac:dyDescent="0.25">
      <c r="A12" t="s">
        <v>160</v>
      </c>
      <c r="B12" t="s">
        <v>152</v>
      </c>
      <c r="E12">
        <v>102.38</v>
      </c>
      <c r="F12">
        <v>72.97</v>
      </c>
      <c r="G12">
        <v>63.24</v>
      </c>
      <c r="H12">
        <v>63.26</v>
      </c>
      <c r="I12">
        <v>63.29</v>
      </c>
      <c r="J12">
        <v>63.33</v>
      </c>
      <c r="K12">
        <v>63.37</v>
      </c>
      <c r="L12">
        <v>63.42</v>
      </c>
      <c r="M12">
        <v>63.63</v>
      </c>
      <c r="N12">
        <v>63.86</v>
      </c>
      <c r="O12">
        <v>64.09</v>
      </c>
      <c r="P12">
        <v>64.31</v>
      </c>
      <c r="Q12">
        <v>64.53</v>
      </c>
      <c r="R12">
        <v>0</v>
      </c>
      <c r="U12" t="s">
        <v>174</v>
      </c>
      <c r="V12" s="33">
        <f t="shared" si="0"/>
        <v>30.645906040268457</v>
      </c>
    </row>
    <row r="13" spans="1:22" x14ac:dyDescent="0.25">
      <c r="A13" t="s">
        <v>161</v>
      </c>
      <c r="B13" t="s">
        <v>152</v>
      </c>
      <c r="E13">
        <v>156.11000000000001</v>
      </c>
      <c r="F13">
        <v>103.75</v>
      </c>
      <c r="G13">
        <v>84.43</v>
      </c>
      <c r="H13">
        <v>84.35</v>
      </c>
      <c r="I13">
        <v>84.28</v>
      </c>
      <c r="J13">
        <v>84.22</v>
      </c>
      <c r="K13">
        <v>84.17</v>
      </c>
      <c r="L13">
        <v>84.12</v>
      </c>
      <c r="M13">
        <v>84.21</v>
      </c>
      <c r="N13">
        <v>84.33</v>
      </c>
      <c r="O13">
        <v>84.45</v>
      </c>
      <c r="P13">
        <v>84.56</v>
      </c>
      <c r="Q13">
        <v>84.66</v>
      </c>
      <c r="R13">
        <v>0</v>
      </c>
      <c r="U13" t="s">
        <v>175</v>
      </c>
      <c r="V13" s="33">
        <f t="shared" si="0"/>
        <v>40.64859060402685</v>
      </c>
    </row>
    <row r="14" spans="1:22" x14ac:dyDescent="0.25">
      <c r="A14" t="s">
        <v>165</v>
      </c>
      <c r="B14" t="s">
        <v>152</v>
      </c>
      <c r="E14" s="20">
        <f t="shared" ref="E14:Q14" si="1">0.47*3.6*EURO_exchange_rate</f>
        <v>12.605399999999999</v>
      </c>
      <c r="F14" s="20">
        <f t="shared" si="1"/>
        <v>12.605399999999999</v>
      </c>
      <c r="G14" s="20">
        <f t="shared" si="1"/>
        <v>12.605399999999999</v>
      </c>
      <c r="H14" s="20">
        <f t="shared" si="1"/>
        <v>12.605399999999999</v>
      </c>
      <c r="I14" s="20">
        <f t="shared" si="1"/>
        <v>12.605399999999999</v>
      </c>
      <c r="J14" s="20">
        <f t="shared" si="1"/>
        <v>12.605399999999999</v>
      </c>
      <c r="K14" s="20">
        <f t="shared" si="1"/>
        <v>12.605399999999999</v>
      </c>
      <c r="L14" s="20">
        <f t="shared" si="1"/>
        <v>12.605399999999999</v>
      </c>
      <c r="M14" s="20">
        <f t="shared" si="1"/>
        <v>12.605399999999999</v>
      </c>
      <c r="N14" s="20">
        <f t="shared" si="1"/>
        <v>12.605399999999999</v>
      </c>
      <c r="O14" s="20">
        <f t="shared" si="1"/>
        <v>12.605399999999999</v>
      </c>
      <c r="P14" s="20">
        <f t="shared" si="1"/>
        <v>12.605399999999999</v>
      </c>
      <c r="Q14" s="20">
        <f t="shared" si="1"/>
        <v>12.605399999999999</v>
      </c>
      <c r="R14">
        <v>0</v>
      </c>
      <c r="U14" t="s">
        <v>176</v>
      </c>
      <c r="V14" s="21">
        <f>0.47*3.6</f>
        <v>1.6919999999999999</v>
      </c>
    </row>
    <row r="15" spans="1:22" x14ac:dyDescent="0.25">
      <c r="A15" t="s">
        <v>153</v>
      </c>
      <c r="B15" t="s">
        <v>156</v>
      </c>
      <c r="E15">
        <v>191.4</v>
      </c>
      <c r="F15">
        <v>174.63</v>
      </c>
      <c r="G15">
        <v>133.03</v>
      </c>
      <c r="H15">
        <v>128.35</v>
      </c>
      <c r="I15">
        <v>124.19</v>
      </c>
      <c r="J15">
        <v>120.33</v>
      </c>
      <c r="K15">
        <v>117.08</v>
      </c>
      <c r="L15">
        <v>113.76</v>
      </c>
      <c r="M15">
        <v>114.24</v>
      </c>
      <c r="N15">
        <v>115.25</v>
      </c>
      <c r="O15">
        <v>116.19</v>
      </c>
      <c r="P15">
        <v>117.07</v>
      </c>
      <c r="Q15">
        <v>117.93</v>
      </c>
      <c r="R15">
        <v>74</v>
      </c>
      <c r="U15" t="s">
        <v>177</v>
      </c>
      <c r="V15" s="33">
        <f t="shared" ref="V15:V22" si="2">HLOOKUP(Year,$A$6:$Q$22,ROW(A15)-5,FALSE)*3.6/EURO_exchange_rate+$V$26*R15/1000*3.6</f>
        <v>84.22163758389263</v>
      </c>
    </row>
    <row r="16" spans="1:22" x14ac:dyDescent="0.25">
      <c r="A16" t="s">
        <v>155</v>
      </c>
      <c r="B16" t="s">
        <v>156</v>
      </c>
      <c r="E16">
        <v>307.85000000000002</v>
      </c>
      <c r="F16">
        <v>243.44</v>
      </c>
      <c r="G16">
        <v>117.25</v>
      </c>
      <c r="H16">
        <v>85.22</v>
      </c>
      <c r="I16">
        <v>85.33</v>
      </c>
      <c r="J16">
        <v>85.41</v>
      </c>
      <c r="K16">
        <v>85.61</v>
      </c>
      <c r="L16">
        <v>85.77</v>
      </c>
      <c r="M16">
        <v>87.2</v>
      </c>
      <c r="N16">
        <v>88.53</v>
      </c>
      <c r="O16">
        <v>89.79</v>
      </c>
      <c r="P16">
        <v>90.97</v>
      </c>
      <c r="Q16">
        <v>92.13</v>
      </c>
      <c r="R16">
        <v>57</v>
      </c>
      <c r="U16" t="s">
        <v>178</v>
      </c>
      <c r="V16" s="33">
        <f t="shared" si="2"/>
        <v>63.976590604026846</v>
      </c>
    </row>
    <row r="17" spans="1:22" x14ac:dyDescent="0.25">
      <c r="A17" t="s">
        <v>159</v>
      </c>
      <c r="B17" t="s">
        <v>156</v>
      </c>
      <c r="E17">
        <v>81.19</v>
      </c>
      <c r="F17">
        <v>57.78</v>
      </c>
      <c r="G17">
        <v>50.03</v>
      </c>
      <c r="H17">
        <v>50.04</v>
      </c>
      <c r="I17">
        <v>50.07</v>
      </c>
      <c r="J17">
        <v>50.21</v>
      </c>
      <c r="K17">
        <v>50.38</v>
      </c>
      <c r="L17">
        <v>50.56</v>
      </c>
      <c r="M17">
        <v>50.7</v>
      </c>
      <c r="N17">
        <v>50.85</v>
      </c>
      <c r="O17">
        <v>51.01</v>
      </c>
      <c r="P17">
        <v>51.16</v>
      </c>
      <c r="Q17">
        <v>51.31</v>
      </c>
      <c r="R17">
        <v>0</v>
      </c>
      <c r="U17" t="s">
        <v>179</v>
      </c>
      <c r="V17" s="33">
        <f t="shared" si="2"/>
        <v>24.431677852348994</v>
      </c>
    </row>
    <row r="18" spans="1:22" x14ac:dyDescent="0.25">
      <c r="A18" t="s">
        <v>160</v>
      </c>
      <c r="B18" t="s">
        <v>156</v>
      </c>
      <c r="E18">
        <v>95.27</v>
      </c>
      <c r="F18">
        <v>67.91</v>
      </c>
      <c r="G18">
        <v>58.86</v>
      </c>
      <c r="H18">
        <v>58.88</v>
      </c>
      <c r="I18">
        <v>58.91</v>
      </c>
      <c r="J18">
        <v>59.07</v>
      </c>
      <c r="K18">
        <v>59.27</v>
      </c>
      <c r="L18">
        <v>59.47</v>
      </c>
      <c r="M18">
        <v>59.64</v>
      </c>
      <c r="N18">
        <v>59.82</v>
      </c>
      <c r="O18">
        <v>60</v>
      </c>
      <c r="P18">
        <v>60.18</v>
      </c>
      <c r="Q18">
        <v>60.35</v>
      </c>
      <c r="R18">
        <v>0</v>
      </c>
      <c r="U18" t="s">
        <v>180</v>
      </c>
      <c r="V18" s="33">
        <f t="shared" si="2"/>
        <v>28.737181208053691</v>
      </c>
    </row>
    <row r="19" spans="1:22" x14ac:dyDescent="0.25">
      <c r="A19" t="s">
        <v>161</v>
      </c>
      <c r="B19" t="s">
        <v>156</v>
      </c>
      <c r="E19">
        <v>161.46</v>
      </c>
      <c r="F19">
        <v>109.04</v>
      </c>
      <c r="G19">
        <v>89.68</v>
      </c>
      <c r="H19">
        <v>89.56</v>
      </c>
      <c r="I19">
        <v>89.47</v>
      </c>
      <c r="J19">
        <v>89.39</v>
      </c>
      <c r="K19">
        <v>89.31</v>
      </c>
      <c r="L19">
        <v>89.24</v>
      </c>
      <c r="M19">
        <v>89.32</v>
      </c>
      <c r="N19">
        <v>89.45</v>
      </c>
      <c r="O19">
        <v>89.57</v>
      </c>
      <c r="P19">
        <v>89.69</v>
      </c>
      <c r="Q19">
        <v>89.8</v>
      </c>
      <c r="R19">
        <v>0</v>
      </c>
      <c r="U19" t="s">
        <v>181</v>
      </c>
      <c r="V19" s="33">
        <f t="shared" si="2"/>
        <v>43.122684563758391</v>
      </c>
    </row>
    <row r="20" spans="1:22" x14ac:dyDescent="0.25">
      <c r="A20" t="s">
        <v>168</v>
      </c>
      <c r="B20" t="s">
        <v>164</v>
      </c>
      <c r="E20">
        <f>2*E10</f>
        <v>599.66</v>
      </c>
      <c r="F20">
        <f t="shared" ref="F20:Q20" si="3">2*F10</f>
        <v>476.48</v>
      </c>
      <c r="G20">
        <f t="shared" si="3"/>
        <v>223.58</v>
      </c>
      <c r="H20">
        <f t="shared" si="3"/>
        <v>158.97999999999999</v>
      </c>
      <c r="I20">
        <f t="shared" si="3"/>
        <v>158.68</v>
      </c>
      <c r="J20">
        <f t="shared" si="3"/>
        <v>158.32</v>
      </c>
      <c r="K20">
        <f t="shared" si="3"/>
        <v>158.18</v>
      </c>
      <c r="L20">
        <f t="shared" si="3"/>
        <v>157.97999999999999</v>
      </c>
      <c r="M20">
        <f t="shared" si="3"/>
        <v>160.30000000000001</v>
      </c>
      <c r="N20">
        <f t="shared" si="3"/>
        <v>162.44</v>
      </c>
      <c r="O20">
        <f t="shared" si="3"/>
        <v>164.4</v>
      </c>
      <c r="P20">
        <f t="shared" si="3"/>
        <v>166.24</v>
      </c>
      <c r="Q20">
        <f t="shared" si="3"/>
        <v>168.04</v>
      </c>
      <c r="R20">
        <v>0</v>
      </c>
      <c r="U20" t="s">
        <v>182</v>
      </c>
      <c r="V20" s="33">
        <f t="shared" si="2"/>
        <v>76.339328859060387</v>
      </c>
    </row>
    <row r="21" spans="1:22" x14ac:dyDescent="0.25">
      <c r="A21" t="s">
        <v>188</v>
      </c>
      <c r="B21" t="s">
        <v>189</v>
      </c>
      <c r="E21">
        <f>E10</f>
        <v>299.83</v>
      </c>
      <c r="F21">
        <f t="shared" ref="F21:Q21" si="4">F10</f>
        <v>238.24</v>
      </c>
      <c r="G21">
        <f t="shared" si="4"/>
        <v>111.79</v>
      </c>
      <c r="H21">
        <f t="shared" si="4"/>
        <v>79.489999999999995</v>
      </c>
      <c r="I21">
        <f t="shared" si="4"/>
        <v>79.34</v>
      </c>
      <c r="J21">
        <f t="shared" si="4"/>
        <v>79.16</v>
      </c>
      <c r="K21">
        <f t="shared" si="4"/>
        <v>79.09</v>
      </c>
      <c r="L21">
        <f t="shared" si="4"/>
        <v>78.989999999999995</v>
      </c>
      <c r="M21">
        <f t="shared" si="4"/>
        <v>80.150000000000006</v>
      </c>
      <c r="N21">
        <f t="shared" si="4"/>
        <v>81.22</v>
      </c>
      <c r="O21">
        <f t="shared" si="4"/>
        <v>82.2</v>
      </c>
      <c r="P21">
        <f t="shared" si="4"/>
        <v>83.12</v>
      </c>
      <c r="Q21">
        <f t="shared" si="4"/>
        <v>84.02</v>
      </c>
      <c r="R21">
        <v>0</v>
      </c>
      <c r="U21" t="s">
        <v>190</v>
      </c>
      <c r="V21" s="33">
        <f t="shared" si="2"/>
        <v>38.169664429530194</v>
      </c>
    </row>
    <row r="22" spans="1:22" x14ac:dyDescent="0.25">
      <c r="A22" t="s">
        <v>166</v>
      </c>
      <c r="B22" t="s">
        <v>156</v>
      </c>
      <c r="E22" s="36">
        <f>-200/10.5</f>
        <v>-19.047619047619047</v>
      </c>
      <c r="F22" s="36">
        <f t="shared" ref="F22:Q22" si="5">-200/10.5</f>
        <v>-19.047619047619047</v>
      </c>
      <c r="G22" s="36">
        <f t="shared" si="5"/>
        <v>-19.047619047619047</v>
      </c>
      <c r="H22" s="36">
        <f t="shared" si="5"/>
        <v>-19.047619047619047</v>
      </c>
      <c r="I22" s="36">
        <f t="shared" si="5"/>
        <v>-19.047619047619047</v>
      </c>
      <c r="J22" s="36">
        <f t="shared" si="5"/>
        <v>-19.047619047619047</v>
      </c>
      <c r="K22" s="36">
        <f t="shared" si="5"/>
        <v>-19.047619047619047</v>
      </c>
      <c r="L22" s="36">
        <f t="shared" si="5"/>
        <v>-19.047619047619047</v>
      </c>
      <c r="M22" s="36">
        <f t="shared" si="5"/>
        <v>-19.047619047619047</v>
      </c>
      <c r="N22" s="36">
        <f t="shared" si="5"/>
        <v>-19.047619047619047</v>
      </c>
      <c r="O22" s="36">
        <f t="shared" si="5"/>
        <v>-19.047619047619047</v>
      </c>
      <c r="P22" s="36">
        <f t="shared" si="5"/>
        <v>-19.047619047619047</v>
      </c>
      <c r="Q22" s="36">
        <f t="shared" si="5"/>
        <v>-19.047619047619047</v>
      </c>
      <c r="R22">
        <v>37</v>
      </c>
      <c r="U22" t="s">
        <v>183</v>
      </c>
      <c r="V22" s="33">
        <f t="shared" si="2"/>
        <v>5.4209626078619397</v>
      </c>
    </row>
    <row r="23" spans="1:22" x14ac:dyDescent="0.25">
      <c r="V23" s="33"/>
    </row>
    <row r="24" spans="1:22" x14ac:dyDescent="0.25">
      <c r="A24" t="s">
        <v>163</v>
      </c>
      <c r="V24" s="33"/>
    </row>
    <row r="25" spans="1:22" x14ac:dyDescent="0.25">
      <c r="E25">
        <v>2023</v>
      </c>
      <c r="F25">
        <v>2024</v>
      </c>
      <c r="G25">
        <v>2025</v>
      </c>
      <c r="H25">
        <v>2026</v>
      </c>
      <c r="I25">
        <v>2027</v>
      </c>
      <c r="J25">
        <v>2028</v>
      </c>
      <c r="K25">
        <v>2029</v>
      </c>
      <c r="L25">
        <v>2030</v>
      </c>
      <c r="M25">
        <v>2031</v>
      </c>
      <c r="N25">
        <v>2032</v>
      </c>
      <c r="O25">
        <v>2033</v>
      </c>
      <c r="P25">
        <v>2034</v>
      </c>
      <c r="Q25">
        <v>2035</v>
      </c>
      <c r="U25" t="s">
        <v>187</v>
      </c>
      <c r="V25" s="33"/>
    </row>
    <row r="26" spans="1:22" x14ac:dyDescent="0.25">
      <c r="A26" t="s">
        <v>216</v>
      </c>
      <c r="E26">
        <v>636</v>
      </c>
      <c r="F26">
        <v>654</v>
      </c>
      <c r="G26">
        <v>678</v>
      </c>
      <c r="H26">
        <v>702</v>
      </c>
      <c r="I26">
        <v>729</v>
      </c>
      <c r="J26">
        <v>757</v>
      </c>
      <c r="K26">
        <v>787</v>
      </c>
      <c r="L26">
        <v>818</v>
      </c>
      <c r="M26">
        <v>852</v>
      </c>
      <c r="N26">
        <v>888</v>
      </c>
      <c r="O26">
        <v>926</v>
      </c>
      <c r="P26">
        <v>966</v>
      </c>
      <c r="Q26">
        <v>1008</v>
      </c>
      <c r="U26" t="s">
        <v>184</v>
      </c>
      <c r="V26" s="33">
        <f>HLOOKUP(Year,$A$25:$Q$26,2,FALSE)/EURO_exchange_rate</f>
        <v>109.79865771812081</v>
      </c>
    </row>
    <row r="28" spans="1:22" x14ac:dyDescent="0.25">
      <c r="B28">
        <v>2015</v>
      </c>
      <c r="C28">
        <v>2016</v>
      </c>
      <c r="D28">
        <v>2017</v>
      </c>
      <c r="E28">
        <v>2018</v>
      </c>
      <c r="F28">
        <v>2019</v>
      </c>
      <c r="G28">
        <v>2020</v>
      </c>
      <c r="H28">
        <v>2021</v>
      </c>
      <c r="I28">
        <v>2022</v>
      </c>
      <c r="J28">
        <v>2023</v>
      </c>
      <c r="K28">
        <v>2024</v>
      </c>
      <c r="L28">
        <v>2025</v>
      </c>
      <c r="M28">
        <v>2026</v>
      </c>
      <c r="N28">
        <v>2027</v>
      </c>
      <c r="O28">
        <v>2028</v>
      </c>
      <c r="P28">
        <v>2029</v>
      </c>
      <c r="Q28">
        <v>2030</v>
      </c>
      <c r="R28">
        <v>2031</v>
      </c>
      <c r="S28">
        <v>2032</v>
      </c>
      <c r="T28">
        <v>2033</v>
      </c>
      <c r="U28">
        <v>2034</v>
      </c>
      <c r="V28">
        <v>2035</v>
      </c>
    </row>
    <row r="29" spans="1:22" x14ac:dyDescent="0.25">
      <c r="A29" t="s">
        <v>191</v>
      </c>
      <c r="B29">
        <v>0.86675709692171587</v>
      </c>
      <c r="C29">
        <v>0.86956010665241468</v>
      </c>
      <c r="D29">
        <v>0.88035914262250548</v>
      </c>
      <c r="E29">
        <v>0.88716711087630673</v>
      </c>
      <c r="F29">
        <v>0.89946429290946173</v>
      </c>
      <c r="G29">
        <v>0.92541491830945133</v>
      </c>
      <c r="H29">
        <v>0.94927858560609568</v>
      </c>
      <c r="I29">
        <v>1</v>
      </c>
      <c r="J29">
        <v>1.0181916621689151</v>
      </c>
      <c r="K29">
        <v>1.0328657593614849</v>
      </c>
      <c r="L29">
        <v>1.0450949598934469</v>
      </c>
      <c r="M29">
        <v>1.0648306662038569</v>
      </c>
      <c r="N29">
        <v>1.0860171956768809</v>
      </c>
      <c r="O29">
        <v>1.1084740921099621</v>
      </c>
      <c r="P29">
        <v>1.127063972551086</v>
      </c>
      <c r="Q29">
        <v>1.1469056805193649</v>
      </c>
      <c r="R29">
        <v>1.167842738748033</v>
      </c>
      <c r="S29">
        <v>1.18939898247524</v>
      </c>
      <c r="T29">
        <v>1.211479358294353</v>
      </c>
      <c r="U29">
        <v>1.2339755246906561</v>
      </c>
      <c r="V29">
        <v>1.256322930823442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CT167"/>
  <sheetViews>
    <sheetView tabSelected="1" zoomScale="110" zoomScaleNormal="110" workbookViewId="0"/>
  </sheetViews>
  <sheetFormatPr defaultRowHeight="15" x14ac:dyDescent="0.25"/>
  <cols>
    <col min="1" max="1" width="34" customWidth="1"/>
    <col min="2" max="10" width="15.7109375" customWidth="1"/>
    <col min="11" max="11" width="10.85546875" customWidth="1"/>
    <col min="12" max="12" width="12.7109375" customWidth="1"/>
    <col min="13" max="15" width="9.140625" customWidth="1"/>
    <col min="16" max="16" width="14.140625" customWidth="1"/>
    <col min="17" max="23" width="9.140625" customWidth="1"/>
  </cols>
  <sheetData>
    <row r="1" spans="1:29" ht="21" x14ac:dyDescent="0.35">
      <c r="A1" s="3" t="s">
        <v>113</v>
      </c>
    </row>
    <row r="2" spans="1:29" x14ac:dyDescent="0.25">
      <c r="A2" t="s">
        <v>234</v>
      </c>
      <c r="B2" s="7" t="s">
        <v>3</v>
      </c>
      <c r="C2" s="7"/>
      <c r="D2" s="7"/>
    </row>
    <row r="3" spans="1:29" x14ac:dyDescent="0.25">
      <c r="A3" t="s">
        <v>235</v>
      </c>
    </row>
    <row r="4" spans="1:29" x14ac:dyDescent="0.25">
      <c r="A4" s="29" t="s">
        <v>126</v>
      </c>
      <c r="B4" s="29"/>
      <c r="C4" s="29"/>
    </row>
    <row r="5" spans="1:29" x14ac:dyDescent="0.25">
      <c r="A5" s="29" t="s">
        <v>117</v>
      </c>
    </row>
    <row r="7" spans="1:29" x14ac:dyDescent="0.25">
      <c r="A7" s="29" t="s">
        <v>74</v>
      </c>
      <c r="B7">
        <v>2030</v>
      </c>
      <c r="F7" t="s">
        <v>149</v>
      </c>
    </row>
    <row r="8" spans="1:29" x14ac:dyDescent="0.25">
      <c r="A8" t="s">
        <v>111</v>
      </c>
      <c r="B8">
        <v>2020</v>
      </c>
      <c r="F8" t="str">
        <f>"CONE (fixed) price level "&amp;$B$8</f>
        <v>CONE (fixed) price level 2020</v>
      </c>
    </row>
    <row r="9" spans="1:29" x14ac:dyDescent="0.25">
      <c r="A9" t="s">
        <v>0</v>
      </c>
      <c r="B9" s="30">
        <f>174*1000/EURO_exchange_rate*HLOOKUP(B8,Prices!$A$28:$V$29,2,FALSE)/HLOOKUP(2020,Prices!$A$28:$V$29,2,FALSE)</f>
        <v>23355.704697986577</v>
      </c>
      <c r="C9" t="s">
        <v>1</v>
      </c>
      <c r="F9" t="str">
        <f>"CONE (variable) price level "&amp;$B$8</f>
        <v>CONE (variable) price level 2020</v>
      </c>
    </row>
    <row r="10" spans="1:29" x14ac:dyDescent="0.25">
      <c r="A10" t="s">
        <v>67</v>
      </c>
      <c r="B10" s="8">
        <v>0.05</v>
      </c>
      <c r="C10" t="s">
        <v>4</v>
      </c>
    </row>
    <row r="11" spans="1:29" x14ac:dyDescent="0.25">
      <c r="A11" t="s">
        <v>150</v>
      </c>
      <c r="B11">
        <v>7.45</v>
      </c>
      <c r="C11" t="s">
        <v>192</v>
      </c>
      <c r="W11" t="s">
        <v>86</v>
      </c>
    </row>
    <row r="12" spans="1:29" x14ac:dyDescent="0.25">
      <c r="A12" t="s">
        <v>227</v>
      </c>
      <c r="B12" s="29">
        <v>0.05</v>
      </c>
      <c r="C12" t="s">
        <v>228</v>
      </c>
    </row>
    <row r="13" spans="1:29" x14ac:dyDescent="0.25">
      <c r="A13" t="s">
        <v>230</v>
      </c>
      <c r="B13" s="29">
        <v>1900</v>
      </c>
      <c r="C13" t="s">
        <v>231</v>
      </c>
    </row>
    <row r="14" spans="1:29" x14ac:dyDescent="0.25">
      <c r="B14" s="1"/>
      <c r="C14" s="1"/>
      <c r="AC14" s="32"/>
    </row>
    <row r="15" spans="1:29" x14ac:dyDescent="0.25">
      <c r="K15" s="9"/>
      <c r="L15" s="14"/>
    </row>
    <row r="16" spans="1:29" x14ac:dyDescent="0.25">
      <c r="A16" s="4"/>
      <c r="K16" s="9"/>
      <c r="L16" s="14"/>
    </row>
    <row r="17" spans="1:98" ht="60" x14ac:dyDescent="0.25">
      <c r="A17" s="2" t="s">
        <v>93</v>
      </c>
      <c r="B17" t="s">
        <v>93</v>
      </c>
      <c r="C17" t="s">
        <v>229</v>
      </c>
      <c r="D17" s="2" t="s">
        <v>128</v>
      </c>
      <c r="E17" s="2" t="s">
        <v>127</v>
      </c>
      <c r="F17" s="2" t="s">
        <v>26</v>
      </c>
      <c r="G17" s="2" t="s">
        <v>25</v>
      </c>
      <c r="H17" s="2" t="s">
        <v>73</v>
      </c>
      <c r="I17" s="2" t="s">
        <v>112</v>
      </c>
      <c r="J17" s="17" t="s">
        <v>5</v>
      </c>
      <c r="K17" s="15" t="s">
        <v>2</v>
      </c>
      <c r="L17" s="2" t="s">
        <v>79</v>
      </c>
      <c r="M17" s="2" t="s">
        <v>80</v>
      </c>
      <c r="N17" s="2" t="s">
        <v>145</v>
      </c>
      <c r="O17" s="2" t="s">
        <v>78</v>
      </c>
      <c r="P17" s="2" t="s">
        <v>76</v>
      </c>
      <c r="Q17" s="2" t="s">
        <v>77</v>
      </c>
      <c r="R17" s="2" t="s">
        <v>110</v>
      </c>
      <c r="S17" s="2" t="s">
        <v>27</v>
      </c>
      <c r="T17" s="2" t="s">
        <v>87</v>
      </c>
      <c r="U17" s="2" t="s">
        <v>88</v>
      </c>
      <c r="V17" s="2" t="s">
        <v>28</v>
      </c>
      <c r="W17" s="2" t="s">
        <v>85</v>
      </c>
      <c r="X17" s="2" t="s">
        <v>119</v>
      </c>
      <c r="Y17" s="2" t="s">
        <v>120</v>
      </c>
      <c r="Z17" s="2" t="s">
        <v>121</v>
      </c>
      <c r="AA17" s="2" t="s">
        <v>208</v>
      </c>
      <c r="AB17" s="2" t="s">
        <v>74</v>
      </c>
      <c r="AC17" s="28">
        <v>1</v>
      </c>
      <c r="AD17">
        <v>2</v>
      </c>
      <c r="AE17">
        <v>3</v>
      </c>
      <c r="AF17">
        <v>4</v>
      </c>
      <c r="AG17">
        <v>5</v>
      </c>
      <c r="AH17">
        <v>6</v>
      </c>
      <c r="AI17">
        <v>7</v>
      </c>
      <c r="AJ17">
        <v>8</v>
      </c>
      <c r="AK17">
        <v>9</v>
      </c>
      <c r="AL17">
        <v>10</v>
      </c>
      <c r="AM17">
        <v>11</v>
      </c>
      <c r="AN17">
        <v>12</v>
      </c>
      <c r="AO17">
        <v>13</v>
      </c>
      <c r="AP17">
        <v>14</v>
      </c>
      <c r="AQ17">
        <v>15</v>
      </c>
      <c r="AR17">
        <v>16</v>
      </c>
      <c r="AS17">
        <v>17</v>
      </c>
      <c r="AT17">
        <v>18</v>
      </c>
      <c r="AU17">
        <v>19</v>
      </c>
      <c r="AV17">
        <v>20</v>
      </c>
      <c r="AW17">
        <v>21</v>
      </c>
      <c r="AX17">
        <v>22</v>
      </c>
      <c r="AY17">
        <v>23</v>
      </c>
      <c r="AZ17">
        <v>24</v>
      </c>
      <c r="BA17">
        <v>25</v>
      </c>
      <c r="BB17">
        <v>26</v>
      </c>
      <c r="BC17">
        <v>27</v>
      </c>
      <c r="BD17">
        <v>28</v>
      </c>
      <c r="BE17">
        <v>29</v>
      </c>
      <c r="BF17">
        <v>30</v>
      </c>
      <c r="BG17">
        <v>31</v>
      </c>
      <c r="BH17">
        <v>32</v>
      </c>
      <c r="BI17">
        <v>33</v>
      </c>
      <c r="BJ17">
        <v>34</v>
      </c>
      <c r="BK17">
        <v>35</v>
      </c>
      <c r="BL17">
        <v>36</v>
      </c>
      <c r="BM17">
        <v>37</v>
      </c>
      <c r="BN17">
        <v>38</v>
      </c>
      <c r="BO17">
        <v>39</v>
      </c>
      <c r="BP17">
        <v>40</v>
      </c>
      <c r="BQ17">
        <v>41</v>
      </c>
      <c r="BR17">
        <v>42</v>
      </c>
      <c r="BS17">
        <v>43</v>
      </c>
      <c r="BT17">
        <v>44</v>
      </c>
      <c r="BU17">
        <v>45</v>
      </c>
      <c r="BV17">
        <v>46</v>
      </c>
      <c r="BW17">
        <v>47</v>
      </c>
      <c r="BX17">
        <v>48</v>
      </c>
      <c r="BY17">
        <v>49</v>
      </c>
      <c r="BZ17">
        <v>50</v>
      </c>
      <c r="CA17">
        <v>51</v>
      </c>
      <c r="CB17">
        <v>52</v>
      </c>
      <c r="CC17">
        <v>53</v>
      </c>
      <c r="CD17">
        <v>54</v>
      </c>
      <c r="CE17">
        <v>55</v>
      </c>
      <c r="CF17">
        <v>56</v>
      </c>
      <c r="CG17">
        <v>57</v>
      </c>
      <c r="CH17">
        <v>58</v>
      </c>
      <c r="CI17">
        <v>59</v>
      </c>
      <c r="CJ17">
        <v>60</v>
      </c>
      <c r="CK17">
        <v>61</v>
      </c>
      <c r="CL17">
        <v>62</v>
      </c>
      <c r="CM17">
        <v>63</v>
      </c>
      <c r="CN17">
        <v>64</v>
      </c>
      <c r="CO17">
        <v>65</v>
      </c>
      <c r="CP17">
        <v>66</v>
      </c>
      <c r="CQ17">
        <v>67</v>
      </c>
      <c r="CR17">
        <v>68</v>
      </c>
      <c r="CS17">
        <v>69</v>
      </c>
      <c r="CT17">
        <v>70</v>
      </c>
    </row>
    <row r="18" spans="1:98" x14ac:dyDescent="0.25">
      <c r="A18" t="s">
        <v>29</v>
      </c>
      <c r="B18" t="s">
        <v>114</v>
      </c>
      <c r="C18" s="9" t="s">
        <v>118</v>
      </c>
      <c r="D18" s="40">
        <v>2.1</v>
      </c>
      <c r="E18" s="41">
        <v>34324</v>
      </c>
      <c r="F18" s="12">
        <v>25</v>
      </c>
      <c r="G18" s="12">
        <v>4.5</v>
      </c>
      <c r="H18" s="12">
        <f>ROUND(G18,0)</f>
        <v>5</v>
      </c>
      <c r="I18" s="12">
        <v>2020</v>
      </c>
      <c r="J18" s="20">
        <f>HLOOKUP($B$8,Prices!$A$28:$V$29,2,FALSE)/HLOOKUP(I18,Prices!$A$28:$V$29,2,FALSE)</f>
        <v>1</v>
      </c>
      <c r="K18" s="14">
        <f t="shared" ref="K18:K49" si="0">$B$10/(1-(1+$B$10)^(-F18+G18))</f>
        <v>7.9089705810272845E-2</v>
      </c>
      <c r="L18" s="24">
        <v>0.95</v>
      </c>
      <c r="M18" s="5">
        <v>1</v>
      </c>
      <c r="N18" s="5">
        <f>L18*M18</f>
        <v>0.95</v>
      </c>
      <c r="O18" s="16">
        <f t="shared" ref="O18:O49" si="1">J18*SUM(AC18:CT18)*WACC*(1+WACC)^(F18+G18)/((1+WACC)^F18-1)</f>
        <v>194192.39242774801</v>
      </c>
      <c r="P18" s="19">
        <f t="shared" ref="P18:P48" si="2">J18*(D18*1000000*WACC/(1-(1+WACC)^-F18)+E18)</f>
        <v>183324.16032838219</v>
      </c>
      <c r="Q18" s="6">
        <f>O18/L18/M18</f>
        <v>204413.04466078739</v>
      </c>
      <c r="R18" s="34">
        <f t="shared" ref="R18:R48" si="3">Q18/VOLL</f>
        <v>8.7521677167980805</v>
      </c>
      <c r="S18" s="11">
        <v>3.21</v>
      </c>
      <c r="T18" s="11">
        <f>CoalPrice</f>
        <v>55.783087248322161</v>
      </c>
      <c r="U18" s="22">
        <v>0.52</v>
      </c>
      <c r="V18" s="6">
        <f>T18/U18</f>
        <v>107.27516778523493</v>
      </c>
      <c r="W18" s="26">
        <f>S18*J18+V18*HLOOKUP($B$8,Prices!$A$28:$V$29,2,FALSE)/Prices!$J$29</f>
        <v>100.71034725400901</v>
      </c>
      <c r="X18" t="s">
        <v>116</v>
      </c>
      <c r="Y18" t="s">
        <v>116</v>
      </c>
      <c r="Z18" t="s">
        <v>115</v>
      </c>
      <c r="AA18" t="s">
        <v>115</v>
      </c>
      <c r="AB18" t="s">
        <v>75</v>
      </c>
      <c r="AC18">
        <f t="shared" ref="AC18:AL27" si="4">IF(AC$17&lt;=$H18,1000000*$D18/$H18,IF(AC$17&lt;=($H18+$F18),$E18,0))/(1+WACC)^AC$17</f>
        <v>400000</v>
      </c>
      <c r="AD18">
        <f t="shared" si="4"/>
        <v>380952.38095238095</v>
      </c>
      <c r="AE18">
        <f t="shared" si="4"/>
        <v>362811.79138321994</v>
      </c>
      <c r="AF18">
        <f t="shared" si="4"/>
        <v>345535.03941259044</v>
      </c>
      <c r="AG18">
        <f t="shared" si="4"/>
        <v>329080.98991675273</v>
      </c>
      <c r="AH18">
        <f t="shared" si="4"/>
        <v>25613.097274155607</v>
      </c>
      <c r="AI18">
        <f t="shared" si="4"/>
        <v>24393.42597538629</v>
      </c>
      <c r="AJ18">
        <f t="shared" si="4"/>
        <v>23231.83426227266</v>
      </c>
      <c r="AK18">
        <f t="shared" si="4"/>
        <v>22125.556440259676</v>
      </c>
      <c r="AL18">
        <f t="shared" si="4"/>
        <v>21071.958514533024</v>
      </c>
      <c r="AM18">
        <f t="shared" ref="AM18:AV27" si="5">IF(AM$17&lt;=$H18,1000000*$D18/$H18,IF(AM$17&lt;=($H18+$F18),$E18,0))/(1+WACC)^AM$17</f>
        <v>20068.531918602876</v>
      </c>
      <c r="AN18">
        <f t="shared" si="5"/>
        <v>19112.887541526554</v>
      </c>
      <c r="AO18">
        <f t="shared" si="5"/>
        <v>18202.750039549093</v>
      </c>
      <c r="AP18">
        <f t="shared" si="5"/>
        <v>17335.952418618188</v>
      </c>
      <c r="AQ18">
        <f t="shared" si="5"/>
        <v>16510.430874874459</v>
      </c>
      <c r="AR18">
        <f t="shared" si="5"/>
        <v>15724.219880832821</v>
      </c>
      <c r="AS18">
        <f t="shared" si="5"/>
        <v>14975.447505555067</v>
      </c>
      <c r="AT18">
        <f t="shared" si="5"/>
        <v>14262.330957671491</v>
      </c>
      <c r="AU18">
        <f t="shared" si="5"/>
        <v>13583.172340639516</v>
      </c>
      <c r="AV18">
        <f t="shared" si="5"/>
        <v>12936.354610132872</v>
      </c>
      <c r="AW18">
        <f t="shared" ref="AW18:BF27" si="6">IF(AW$17&lt;=$H18,1000000*$D18/$H18,IF(AW$17&lt;=($H18+$F18),$E18,0))/(1+WACC)^AW$17</f>
        <v>12320.337723936069</v>
      </c>
      <c r="AX18">
        <f t="shared" si="6"/>
        <v>11733.654975177209</v>
      </c>
      <c r="AY18">
        <f t="shared" si="6"/>
        <v>11174.909500168769</v>
      </c>
      <c r="AZ18">
        <f t="shared" si="6"/>
        <v>10642.770952541687</v>
      </c>
      <c r="BA18">
        <f t="shared" si="6"/>
        <v>10135.972335753986</v>
      </c>
      <c r="BB18">
        <f t="shared" si="6"/>
        <v>9653.3069864323679</v>
      </c>
      <c r="BC18">
        <f t="shared" si="6"/>
        <v>9193.6257013641589</v>
      </c>
      <c r="BD18">
        <f t="shared" si="6"/>
        <v>8755.8340012991994</v>
      </c>
      <c r="BE18">
        <f t="shared" si="6"/>
        <v>8338.8895250468559</v>
      </c>
      <c r="BF18">
        <f t="shared" si="6"/>
        <v>7941.7995476636752</v>
      </c>
      <c r="BG18">
        <f t="shared" ref="BG18:BP27" si="7">IF(BG$17&lt;=$H18,1000000*$D18/$H18,IF(BG$17&lt;=($H18+$F18),$E18,0))/(1+WACC)^BG$17</f>
        <v>0</v>
      </c>
      <c r="BH18">
        <f t="shared" si="7"/>
        <v>0</v>
      </c>
      <c r="BI18">
        <f t="shared" si="7"/>
        <v>0</v>
      </c>
      <c r="BJ18">
        <f t="shared" si="7"/>
        <v>0</v>
      </c>
      <c r="BK18">
        <f t="shared" si="7"/>
        <v>0</v>
      </c>
      <c r="BL18">
        <f t="shared" si="7"/>
        <v>0</v>
      </c>
      <c r="BM18">
        <f t="shared" si="7"/>
        <v>0</v>
      </c>
      <c r="BN18">
        <f t="shared" si="7"/>
        <v>0</v>
      </c>
      <c r="BO18">
        <f t="shared" si="7"/>
        <v>0</v>
      </c>
      <c r="BP18">
        <f t="shared" si="7"/>
        <v>0</v>
      </c>
      <c r="BQ18">
        <f t="shared" ref="BQ18:CF27" si="8">IF(BQ$17&lt;=$H18,1000000*$D18/$H18,IF(BQ$17&lt;=($H18+$F18),$E18,0))/(1+WACC)^BQ$17</f>
        <v>0</v>
      </c>
      <c r="BR18">
        <f t="shared" si="8"/>
        <v>0</v>
      </c>
      <c r="BS18">
        <f t="shared" si="8"/>
        <v>0</v>
      </c>
      <c r="BT18">
        <f t="shared" si="8"/>
        <v>0</v>
      </c>
      <c r="BU18">
        <f t="shared" si="8"/>
        <v>0</v>
      </c>
      <c r="BV18">
        <f t="shared" si="8"/>
        <v>0</v>
      </c>
      <c r="BW18">
        <f t="shared" si="8"/>
        <v>0</v>
      </c>
      <c r="BX18">
        <f t="shared" si="8"/>
        <v>0</v>
      </c>
      <c r="BY18">
        <f t="shared" si="8"/>
        <v>0</v>
      </c>
      <c r="BZ18">
        <f t="shared" si="8"/>
        <v>0</v>
      </c>
      <c r="CA18">
        <f t="shared" si="8"/>
        <v>0</v>
      </c>
      <c r="CB18">
        <f t="shared" si="8"/>
        <v>0</v>
      </c>
      <c r="CC18">
        <f t="shared" si="8"/>
        <v>0</v>
      </c>
      <c r="CD18">
        <f t="shared" si="8"/>
        <v>0</v>
      </c>
      <c r="CE18">
        <f t="shared" si="8"/>
        <v>0</v>
      </c>
      <c r="CF18">
        <f t="shared" si="8"/>
        <v>0</v>
      </c>
      <c r="CG18">
        <f t="shared" ref="CA18:CT31" si="9">IF(CG$17&lt;=$H18,1000000*$D18/$H18,IF(CG$17&lt;=($H18+$F18),$E18,0))/(1+WACC)^CG$17</f>
        <v>0</v>
      </c>
      <c r="CH18">
        <f t="shared" si="9"/>
        <v>0</v>
      </c>
      <c r="CI18">
        <f t="shared" si="9"/>
        <v>0</v>
      </c>
      <c r="CJ18">
        <f t="shared" si="9"/>
        <v>0</v>
      </c>
      <c r="CK18">
        <f t="shared" si="9"/>
        <v>0</v>
      </c>
      <c r="CL18">
        <f t="shared" si="9"/>
        <v>0</v>
      </c>
      <c r="CM18">
        <f t="shared" si="9"/>
        <v>0</v>
      </c>
      <c r="CN18">
        <f t="shared" si="9"/>
        <v>0</v>
      </c>
      <c r="CO18">
        <f t="shared" si="9"/>
        <v>0</v>
      </c>
      <c r="CP18">
        <f t="shared" si="9"/>
        <v>0</v>
      </c>
      <c r="CQ18">
        <f t="shared" si="9"/>
        <v>0</v>
      </c>
      <c r="CR18">
        <f t="shared" si="9"/>
        <v>0</v>
      </c>
      <c r="CS18">
        <f t="shared" si="9"/>
        <v>0</v>
      </c>
      <c r="CT18">
        <f t="shared" si="9"/>
        <v>0</v>
      </c>
    </row>
    <row r="19" spans="1:98" x14ac:dyDescent="0.25">
      <c r="A19" t="s">
        <v>30</v>
      </c>
      <c r="B19" t="s">
        <v>89</v>
      </c>
      <c r="C19" s="9" t="s">
        <v>118</v>
      </c>
      <c r="D19" s="13">
        <v>0.26</v>
      </c>
      <c r="E19" s="25">
        <f>E18</f>
        <v>34324</v>
      </c>
      <c r="F19" s="12">
        <v>15</v>
      </c>
      <c r="G19" s="12">
        <v>0.5</v>
      </c>
      <c r="H19" s="12">
        <f t="shared" ref="H19:H74" si="10">ROUND(G19,0)</f>
        <v>1</v>
      </c>
      <c r="I19" s="12">
        <v>2020</v>
      </c>
      <c r="J19" s="20">
        <f>HLOOKUP($B$8,Prices!$A$28:$V$29,2,FALSE)/HLOOKUP(I19,Prices!$A$28:$V$29,2,FALSE)</f>
        <v>1</v>
      </c>
      <c r="K19" s="14">
        <f t="shared" si="0"/>
        <v>9.8599075188373173E-2</v>
      </c>
      <c r="L19" s="24">
        <v>0.9</v>
      </c>
      <c r="M19" s="5">
        <v>1</v>
      </c>
      <c r="N19" s="5">
        <f t="shared" ref="N19:N74" si="11">L19*M19</f>
        <v>0.9</v>
      </c>
      <c r="O19" s="16">
        <f t="shared" si="1"/>
        <v>57942.109935416884</v>
      </c>
      <c r="P19" s="19">
        <f t="shared" si="2"/>
        <v>59372.994778403532</v>
      </c>
      <c r="Q19" s="6">
        <f t="shared" ref="Q19:Q62" si="12">O19/L19/M19</f>
        <v>64380.122150463205</v>
      </c>
      <c r="R19" s="34">
        <f t="shared" si="3"/>
        <v>2.7565052300054647</v>
      </c>
      <c r="S19" s="11">
        <f>S18</f>
        <v>3.21</v>
      </c>
      <c r="T19" s="11">
        <f>CoalPrice</f>
        <v>55.783087248322161</v>
      </c>
      <c r="U19" s="22">
        <v>0.35</v>
      </c>
      <c r="V19" s="6">
        <f t="shared" ref="V19:V74" si="13">T19/U19</f>
        <v>159.38024928092048</v>
      </c>
      <c r="W19" s="26">
        <f>S19*J19+V19*HLOOKUP($B$8,Prices!$A$28:$V$29,2,FALSE)/Prices!$J$29</f>
        <v>148.06765877738485</v>
      </c>
      <c r="X19" t="s">
        <v>116</v>
      </c>
      <c r="Y19" t="s">
        <v>116</v>
      </c>
      <c r="Z19" t="s">
        <v>115</v>
      </c>
      <c r="AA19" t="s">
        <v>115</v>
      </c>
      <c r="AB19" t="s">
        <v>75</v>
      </c>
      <c r="AC19">
        <f t="shared" si="4"/>
        <v>247619.0476190476</v>
      </c>
      <c r="AD19">
        <f t="shared" si="4"/>
        <v>31132.879818594105</v>
      </c>
      <c r="AE19">
        <f t="shared" si="4"/>
        <v>29650.361731994381</v>
      </c>
      <c r="AF19">
        <f t="shared" si="4"/>
        <v>28238.439744756557</v>
      </c>
      <c r="AG19">
        <f t="shared" si="4"/>
        <v>26893.752137863386</v>
      </c>
      <c r="AH19">
        <f t="shared" si="4"/>
        <v>25613.097274155607</v>
      </c>
      <c r="AI19">
        <f t="shared" si="4"/>
        <v>24393.42597538629</v>
      </c>
      <c r="AJ19">
        <f t="shared" si="4"/>
        <v>23231.83426227266</v>
      </c>
      <c r="AK19">
        <f t="shared" si="4"/>
        <v>22125.556440259676</v>
      </c>
      <c r="AL19">
        <f t="shared" si="4"/>
        <v>21071.958514533024</v>
      </c>
      <c r="AM19">
        <f t="shared" si="5"/>
        <v>20068.531918602876</v>
      </c>
      <c r="AN19">
        <f t="shared" si="5"/>
        <v>19112.887541526554</v>
      </c>
      <c r="AO19">
        <f t="shared" si="5"/>
        <v>18202.750039549093</v>
      </c>
      <c r="AP19">
        <f t="shared" si="5"/>
        <v>17335.952418618188</v>
      </c>
      <c r="AQ19">
        <f t="shared" si="5"/>
        <v>16510.430874874459</v>
      </c>
      <c r="AR19">
        <f t="shared" si="5"/>
        <v>15724.219880832821</v>
      </c>
      <c r="AS19">
        <f t="shared" si="5"/>
        <v>0</v>
      </c>
      <c r="AT19">
        <f t="shared" si="5"/>
        <v>0</v>
      </c>
      <c r="AU19">
        <f t="shared" si="5"/>
        <v>0</v>
      </c>
      <c r="AV19">
        <f t="shared" si="5"/>
        <v>0</v>
      </c>
      <c r="AW19">
        <f t="shared" si="6"/>
        <v>0</v>
      </c>
      <c r="AX19">
        <f t="shared" si="6"/>
        <v>0</v>
      </c>
      <c r="AY19">
        <f t="shared" si="6"/>
        <v>0</v>
      </c>
      <c r="AZ19">
        <f t="shared" si="6"/>
        <v>0</v>
      </c>
      <c r="BA19">
        <f t="shared" si="6"/>
        <v>0</v>
      </c>
      <c r="BB19">
        <f t="shared" si="6"/>
        <v>0</v>
      </c>
      <c r="BC19">
        <f t="shared" si="6"/>
        <v>0</v>
      </c>
      <c r="BD19">
        <f t="shared" si="6"/>
        <v>0</v>
      </c>
      <c r="BE19">
        <f t="shared" si="6"/>
        <v>0</v>
      </c>
      <c r="BF19">
        <f t="shared" si="6"/>
        <v>0</v>
      </c>
      <c r="BG19">
        <f t="shared" si="7"/>
        <v>0</v>
      </c>
      <c r="BH19">
        <f t="shared" si="7"/>
        <v>0</v>
      </c>
      <c r="BI19">
        <f t="shared" si="7"/>
        <v>0</v>
      </c>
      <c r="BJ19">
        <f t="shared" si="7"/>
        <v>0</v>
      </c>
      <c r="BK19">
        <f t="shared" si="7"/>
        <v>0</v>
      </c>
      <c r="BL19">
        <f t="shared" si="7"/>
        <v>0</v>
      </c>
      <c r="BM19">
        <f t="shared" si="7"/>
        <v>0</v>
      </c>
      <c r="BN19">
        <f t="shared" si="7"/>
        <v>0</v>
      </c>
      <c r="BO19">
        <f t="shared" si="7"/>
        <v>0</v>
      </c>
      <c r="BP19">
        <f t="shared" si="7"/>
        <v>0</v>
      </c>
      <c r="BQ19">
        <f t="shared" si="8"/>
        <v>0</v>
      </c>
      <c r="BR19">
        <f t="shared" si="8"/>
        <v>0</v>
      </c>
      <c r="BS19">
        <f t="shared" si="8"/>
        <v>0</v>
      </c>
      <c r="BT19">
        <f t="shared" si="8"/>
        <v>0</v>
      </c>
      <c r="BU19">
        <f t="shared" si="8"/>
        <v>0</v>
      </c>
      <c r="BV19">
        <f t="shared" si="8"/>
        <v>0</v>
      </c>
      <c r="BW19">
        <f t="shared" si="8"/>
        <v>0</v>
      </c>
      <c r="BX19">
        <f t="shared" si="8"/>
        <v>0</v>
      </c>
      <c r="BY19">
        <f t="shared" si="8"/>
        <v>0</v>
      </c>
      <c r="BZ19">
        <f t="shared" si="8"/>
        <v>0</v>
      </c>
      <c r="CA19">
        <f t="shared" si="9"/>
        <v>0</v>
      </c>
      <c r="CB19">
        <f t="shared" si="9"/>
        <v>0</v>
      </c>
      <c r="CC19">
        <f t="shared" si="9"/>
        <v>0</v>
      </c>
      <c r="CD19">
        <f t="shared" si="9"/>
        <v>0</v>
      </c>
      <c r="CE19">
        <f t="shared" si="9"/>
        <v>0</v>
      </c>
      <c r="CF19">
        <f t="shared" si="9"/>
        <v>0</v>
      </c>
      <c r="CG19">
        <f t="shared" si="9"/>
        <v>0</v>
      </c>
      <c r="CH19">
        <f t="shared" si="9"/>
        <v>0</v>
      </c>
      <c r="CI19">
        <f t="shared" si="9"/>
        <v>0</v>
      </c>
      <c r="CJ19">
        <f t="shared" si="9"/>
        <v>0</v>
      </c>
      <c r="CK19">
        <f t="shared" si="9"/>
        <v>0</v>
      </c>
      <c r="CL19">
        <f t="shared" si="9"/>
        <v>0</v>
      </c>
      <c r="CM19">
        <f t="shared" si="9"/>
        <v>0</v>
      </c>
      <c r="CN19">
        <f t="shared" si="9"/>
        <v>0</v>
      </c>
      <c r="CO19">
        <f t="shared" si="9"/>
        <v>0</v>
      </c>
      <c r="CP19">
        <f t="shared" si="9"/>
        <v>0</v>
      </c>
      <c r="CQ19">
        <f t="shared" si="9"/>
        <v>0</v>
      </c>
      <c r="CR19">
        <f t="shared" si="9"/>
        <v>0</v>
      </c>
      <c r="CS19">
        <f t="shared" si="9"/>
        <v>0</v>
      </c>
      <c r="CT19">
        <f t="shared" si="9"/>
        <v>0</v>
      </c>
    </row>
    <row r="20" spans="1:98" x14ac:dyDescent="0.25">
      <c r="A20" t="s">
        <v>31</v>
      </c>
      <c r="B20" t="s">
        <v>90</v>
      </c>
      <c r="C20" s="9" t="s">
        <v>118</v>
      </c>
      <c r="D20" s="40">
        <v>0.53</v>
      </c>
      <c r="E20" s="41">
        <v>3362</v>
      </c>
      <c r="F20" s="12">
        <v>15</v>
      </c>
      <c r="G20" s="12">
        <v>2</v>
      </c>
      <c r="H20" s="12">
        <f t="shared" si="10"/>
        <v>2</v>
      </c>
      <c r="I20" s="12">
        <v>2020</v>
      </c>
      <c r="J20" s="20">
        <f>HLOOKUP($B$8,Prices!$A$28:$V$29,2,FALSE)/HLOOKUP(I20,Prices!$A$28:$V$29,2,FALSE)</f>
        <v>1</v>
      </c>
      <c r="K20" s="14">
        <f t="shared" si="0"/>
        <v>0.10645576516772763</v>
      </c>
      <c r="L20" s="45">
        <v>0.95</v>
      </c>
      <c r="M20" s="5">
        <v>1</v>
      </c>
      <c r="N20" s="5">
        <f t="shared" si="11"/>
        <v>0.95</v>
      </c>
      <c r="O20" s="16">
        <f t="shared" si="1"/>
        <v>55699.947743722005</v>
      </c>
      <c r="P20" s="19">
        <f t="shared" si="2"/>
        <v>54423.412432899517</v>
      </c>
      <c r="Q20" s="6">
        <f t="shared" si="12"/>
        <v>58631.523940760009</v>
      </c>
      <c r="R20" s="34">
        <f t="shared" si="3"/>
        <v>2.5103727204520809</v>
      </c>
      <c r="S20" s="11">
        <v>0.96</v>
      </c>
      <c r="T20" s="11">
        <f>WPpriceCentral</f>
        <v>40.64859060402685</v>
      </c>
      <c r="U20" s="46">
        <f>U19</f>
        <v>0.35</v>
      </c>
      <c r="V20" s="6">
        <f t="shared" si="13"/>
        <v>116.13883029721958</v>
      </c>
      <c r="W20" s="26">
        <f>S20*J20+V20*HLOOKUP($B$8,Prices!$A$28:$V$29,2,FALSE)/Prices!$J$29</f>
        <v>106.51636050202366</v>
      </c>
      <c r="X20" t="s">
        <v>116</v>
      </c>
      <c r="Y20" t="s">
        <v>116</v>
      </c>
      <c r="Z20" t="s">
        <v>116</v>
      </c>
      <c r="AA20" t="s">
        <v>116</v>
      </c>
      <c r="AB20" t="s">
        <v>75</v>
      </c>
      <c r="AC20">
        <f t="shared" si="4"/>
        <v>252380.95238095237</v>
      </c>
      <c r="AD20">
        <f t="shared" si="4"/>
        <v>240362.81179138322</v>
      </c>
      <c r="AE20">
        <f t="shared" si="4"/>
        <v>2904.2220062628221</v>
      </c>
      <c r="AF20">
        <f t="shared" si="4"/>
        <v>2765.9257202503072</v>
      </c>
      <c r="AG20">
        <f t="shared" si="4"/>
        <v>2634.2149716669592</v>
      </c>
      <c r="AH20">
        <f t="shared" si="4"/>
        <v>2508.7761634923422</v>
      </c>
      <c r="AI20">
        <f t="shared" si="4"/>
        <v>2389.3106318974683</v>
      </c>
      <c r="AJ20">
        <f t="shared" si="4"/>
        <v>2275.5339351404464</v>
      </c>
      <c r="AK20">
        <f t="shared" si="4"/>
        <v>2167.1751763242346</v>
      </c>
      <c r="AL20">
        <f t="shared" si="4"/>
        <v>2063.9763584040329</v>
      </c>
      <c r="AM20">
        <f t="shared" si="5"/>
        <v>1965.6917699086025</v>
      </c>
      <c r="AN20">
        <f t="shared" si="5"/>
        <v>1872.0873999129551</v>
      </c>
      <c r="AO20">
        <f t="shared" si="5"/>
        <v>1782.9403808694808</v>
      </c>
      <c r="AP20">
        <f t="shared" si="5"/>
        <v>1698.0384579709344</v>
      </c>
      <c r="AQ20">
        <f t="shared" si="5"/>
        <v>1617.1794837818418</v>
      </c>
      <c r="AR20">
        <f t="shared" si="5"/>
        <v>1540.1709369350876</v>
      </c>
      <c r="AS20">
        <f t="shared" si="5"/>
        <v>1466.8294637477022</v>
      </c>
      <c r="AT20">
        <f t="shared" si="5"/>
        <v>0</v>
      </c>
      <c r="AU20">
        <f t="shared" si="5"/>
        <v>0</v>
      </c>
      <c r="AV20">
        <f t="shared" si="5"/>
        <v>0</v>
      </c>
      <c r="AW20">
        <f t="shared" si="6"/>
        <v>0</v>
      </c>
      <c r="AX20">
        <f t="shared" si="6"/>
        <v>0</v>
      </c>
      <c r="AY20">
        <f t="shared" si="6"/>
        <v>0</v>
      </c>
      <c r="AZ20">
        <f t="shared" si="6"/>
        <v>0</v>
      </c>
      <c r="BA20">
        <f t="shared" si="6"/>
        <v>0</v>
      </c>
      <c r="BB20">
        <f t="shared" si="6"/>
        <v>0</v>
      </c>
      <c r="BC20">
        <f t="shared" si="6"/>
        <v>0</v>
      </c>
      <c r="BD20">
        <f t="shared" si="6"/>
        <v>0</v>
      </c>
      <c r="BE20">
        <f t="shared" si="6"/>
        <v>0</v>
      </c>
      <c r="BF20">
        <f t="shared" si="6"/>
        <v>0</v>
      </c>
      <c r="BG20">
        <f t="shared" si="7"/>
        <v>0</v>
      </c>
      <c r="BH20">
        <f t="shared" si="7"/>
        <v>0</v>
      </c>
      <c r="BI20">
        <f t="shared" si="7"/>
        <v>0</v>
      </c>
      <c r="BJ20">
        <f t="shared" si="7"/>
        <v>0</v>
      </c>
      <c r="BK20">
        <f t="shared" si="7"/>
        <v>0</v>
      </c>
      <c r="BL20">
        <f t="shared" si="7"/>
        <v>0</v>
      </c>
      <c r="BM20">
        <f t="shared" si="7"/>
        <v>0</v>
      </c>
      <c r="BN20">
        <f t="shared" si="7"/>
        <v>0</v>
      </c>
      <c r="BO20">
        <f t="shared" si="7"/>
        <v>0</v>
      </c>
      <c r="BP20">
        <f t="shared" si="7"/>
        <v>0</v>
      </c>
      <c r="BQ20">
        <f t="shared" si="8"/>
        <v>0</v>
      </c>
      <c r="BR20">
        <f t="shared" si="8"/>
        <v>0</v>
      </c>
      <c r="BS20">
        <f t="shared" si="8"/>
        <v>0</v>
      </c>
      <c r="BT20">
        <f t="shared" si="8"/>
        <v>0</v>
      </c>
      <c r="BU20">
        <f t="shared" si="8"/>
        <v>0</v>
      </c>
      <c r="BV20">
        <f t="shared" si="8"/>
        <v>0</v>
      </c>
      <c r="BW20">
        <f t="shared" si="8"/>
        <v>0</v>
      </c>
      <c r="BX20">
        <f t="shared" si="8"/>
        <v>0</v>
      </c>
      <c r="BY20">
        <f t="shared" si="8"/>
        <v>0</v>
      </c>
      <c r="BZ20">
        <f t="shared" si="8"/>
        <v>0</v>
      </c>
      <c r="CA20">
        <f t="shared" si="9"/>
        <v>0</v>
      </c>
      <c r="CB20">
        <f t="shared" si="9"/>
        <v>0</v>
      </c>
      <c r="CC20">
        <f t="shared" si="9"/>
        <v>0</v>
      </c>
      <c r="CD20">
        <f t="shared" si="9"/>
        <v>0</v>
      </c>
      <c r="CE20">
        <f t="shared" si="9"/>
        <v>0</v>
      </c>
      <c r="CF20">
        <f t="shared" si="9"/>
        <v>0</v>
      </c>
      <c r="CG20">
        <f t="shared" si="9"/>
        <v>0</v>
      </c>
      <c r="CH20">
        <f t="shared" si="9"/>
        <v>0</v>
      </c>
      <c r="CI20">
        <f t="shared" si="9"/>
        <v>0</v>
      </c>
      <c r="CJ20">
        <f t="shared" si="9"/>
        <v>0</v>
      </c>
      <c r="CK20">
        <f t="shared" si="9"/>
        <v>0</v>
      </c>
      <c r="CL20">
        <f t="shared" si="9"/>
        <v>0</v>
      </c>
      <c r="CM20">
        <f t="shared" si="9"/>
        <v>0</v>
      </c>
      <c r="CN20">
        <f t="shared" si="9"/>
        <v>0</v>
      </c>
      <c r="CO20">
        <f t="shared" si="9"/>
        <v>0</v>
      </c>
      <c r="CP20">
        <f t="shared" si="9"/>
        <v>0</v>
      </c>
      <c r="CQ20">
        <f t="shared" si="9"/>
        <v>0</v>
      </c>
      <c r="CR20">
        <f t="shared" si="9"/>
        <v>0</v>
      </c>
      <c r="CS20">
        <f t="shared" si="9"/>
        <v>0</v>
      </c>
      <c r="CT20">
        <f t="shared" si="9"/>
        <v>0</v>
      </c>
    </row>
    <row r="21" spans="1:98" x14ac:dyDescent="0.25">
      <c r="A21" t="s">
        <v>32</v>
      </c>
      <c r="B21" t="s">
        <v>92</v>
      </c>
      <c r="C21" s="9" t="s">
        <v>118</v>
      </c>
      <c r="D21" s="40">
        <v>1.71</v>
      </c>
      <c r="E21" s="41">
        <v>78424</v>
      </c>
      <c r="F21" s="12">
        <v>15</v>
      </c>
      <c r="G21" s="12">
        <v>2.5</v>
      </c>
      <c r="H21" s="12">
        <f t="shared" si="10"/>
        <v>3</v>
      </c>
      <c r="I21" s="12">
        <v>2020</v>
      </c>
      <c r="J21" s="20">
        <f>HLOOKUP($B$8,Prices!$A$28:$V$29,2,FALSE)/HLOOKUP(I21,Prices!$A$28:$V$29,2,FALSE)</f>
        <v>1</v>
      </c>
      <c r="K21" s="14">
        <f t="shared" si="0"/>
        <v>0.10950927682363434</v>
      </c>
      <c r="L21" s="45">
        <v>0.95</v>
      </c>
      <c r="M21" s="5">
        <v>1</v>
      </c>
      <c r="N21" s="5">
        <f t="shared" si="11"/>
        <v>0.95</v>
      </c>
      <c r="O21" s="16">
        <f t="shared" si="1"/>
        <v>245481.67636158745</v>
      </c>
      <c r="P21" s="19">
        <f t="shared" si="2"/>
        <v>243169.31181180786</v>
      </c>
      <c r="Q21" s="6">
        <f t="shared" si="12"/>
        <v>258401.76459114469</v>
      </c>
      <c r="R21" s="34">
        <f t="shared" si="3"/>
        <v>11.063753713816252</v>
      </c>
      <c r="S21" s="11">
        <v>2.92</v>
      </c>
      <c r="T21" s="11">
        <f>WCPriceCentral</f>
        <v>30.645906040268457</v>
      </c>
      <c r="U21" s="46">
        <f>+U19-0.01</f>
        <v>0.33999999999999997</v>
      </c>
      <c r="V21" s="6">
        <f t="shared" si="13"/>
        <v>90.135017765495476</v>
      </c>
      <c r="W21" s="26">
        <f>S21*J21+V21*HLOOKUP($B$8,Prices!$A$28:$V$29,2,FALSE)/Prices!$J$29</f>
        <v>84.841992883535397</v>
      </c>
      <c r="X21" t="s">
        <v>116</v>
      </c>
      <c r="Y21" t="s">
        <v>116</v>
      </c>
      <c r="Z21" t="s">
        <v>116</v>
      </c>
      <c r="AA21" t="s">
        <v>116</v>
      </c>
      <c r="AB21" t="s">
        <v>75</v>
      </c>
      <c r="AC21">
        <f t="shared" si="4"/>
        <v>542857.14285714284</v>
      </c>
      <c r="AD21">
        <f t="shared" si="4"/>
        <v>517006.8027210884</v>
      </c>
      <c r="AE21">
        <f t="shared" si="4"/>
        <v>492387.43116294133</v>
      </c>
      <c r="AF21">
        <f t="shared" si="4"/>
        <v>64519.618883078554</v>
      </c>
      <c r="AG21">
        <f t="shared" si="4"/>
        <v>61447.256079122424</v>
      </c>
      <c r="AH21">
        <f t="shared" si="4"/>
        <v>58521.196265830891</v>
      </c>
      <c r="AI21">
        <f t="shared" si="4"/>
        <v>55734.472634124642</v>
      </c>
      <c r="AJ21">
        <f t="shared" si="4"/>
        <v>53080.450127737764</v>
      </c>
      <c r="AK21">
        <f t="shared" si="4"/>
        <v>50552.809645464535</v>
      </c>
      <c r="AL21">
        <f t="shared" si="4"/>
        <v>48145.532995680507</v>
      </c>
      <c r="AM21">
        <f t="shared" si="5"/>
        <v>45852.888567314767</v>
      </c>
      <c r="AN21">
        <f t="shared" si="5"/>
        <v>43669.417683156928</v>
      </c>
      <c r="AO21">
        <f t="shared" si="5"/>
        <v>41589.921603006587</v>
      </c>
      <c r="AP21">
        <f t="shared" si="5"/>
        <v>39609.449145720573</v>
      </c>
      <c r="AQ21">
        <f t="shared" si="5"/>
        <v>37723.284900686245</v>
      </c>
      <c r="AR21">
        <f t="shared" si="5"/>
        <v>35926.938000653572</v>
      </c>
      <c r="AS21">
        <f t="shared" si="5"/>
        <v>34216.131429193876</v>
      </c>
      <c r="AT21">
        <f t="shared" si="5"/>
        <v>32586.791837327499</v>
      </c>
      <c r="AU21">
        <f t="shared" si="5"/>
        <v>0</v>
      </c>
      <c r="AV21">
        <f t="shared" si="5"/>
        <v>0</v>
      </c>
      <c r="AW21">
        <f t="shared" si="6"/>
        <v>0</v>
      </c>
      <c r="AX21">
        <f t="shared" si="6"/>
        <v>0</v>
      </c>
      <c r="AY21">
        <f t="shared" si="6"/>
        <v>0</v>
      </c>
      <c r="AZ21">
        <f t="shared" si="6"/>
        <v>0</v>
      </c>
      <c r="BA21">
        <f t="shared" si="6"/>
        <v>0</v>
      </c>
      <c r="BB21">
        <f t="shared" si="6"/>
        <v>0</v>
      </c>
      <c r="BC21">
        <f t="shared" si="6"/>
        <v>0</v>
      </c>
      <c r="BD21">
        <f t="shared" si="6"/>
        <v>0</v>
      </c>
      <c r="BE21">
        <f t="shared" si="6"/>
        <v>0</v>
      </c>
      <c r="BF21">
        <f t="shared" si="6"/>
        <v>0</v>
      </c>
      <c r="BG21">
        <f t="shared" si="7"/>
        <v>0</v>
      </c>
      <c r="BH21">
        <f t="shared" si="7"/>
        <v>0</v>
      </c>
      <c r="BI21">
        <f t="shared" si="7"/>
        <v>0</v>
      </c>
      <c r="BJ21">
        <f t="shared" si="7"/>
        <v>0</v>
      </c>
      <c r="BK21">
        <f t="shared" si="7"/>
        <v>0</v>
      </c>
      <c r="BL21">
        <f t="shared" si="7"/>
        <v>0</v>
      </c>
      <c r="BM21">
        <f t="shared" si="7"/>
        <v>0</v>
      </c>
      <c r="BN21">
        <f t="shared" si="7"/>
        <v>0</v>
      </c>
      <c r="BO21">
        <f t="shared" si="7"/>
        <v>0</v>
      </c>
      <c r="BP21">
        <f t="shared" si="7"/>
        <v>0</v>
      </c>
      <c r="BQ21">
        <f t="shared" si="8"/>
        <v>0</v>
      </c>
      <c r="BR21">
        <f t="shared" si="8"/>
        <v>0</v>
      </c>
      <c r="BS21">
        <f t="shared" si="8"/>
        <v>0</v>
      </c>
      <c r="BT21">
        <f t="shared" si="8"/>
        <v>0</v>
      </c>
      <c r="BU21">
        <f t="shared" si="8"/>
        <v>0</v>
      </c>
      <c r="BV21">
        <f t="shared" si="8"/>
        <v>0</v>
      </c>
      <c r="BW21">
        <f t="shared" si="8"/>
        <v>0</v>
      </c>
      <c r="BX21">
        <f t="shared" si="8"/>
        <v>0</v>
      </c>
      <c r="BY21">
        <f t="shared" si="8"/>
        <v>0</v>
      </c>
      <c r="BZ21">
        <f t="shared" si="8"/>
        <v>0</v>
      </c>
      <c r="CA21">
        <f t="shared" si="9"/>
        <v>0</v>
      </c>
      <c r="CB21">
        <f t="shared" si="9"/>
        <v>0</v>
      </c>
      <c r="CC21">
        <f t="shared" si="9"/>
        <v>0</v>
      </c>
      <c r="CD21">
        <f t="shared" si="9"/>
        <v>0</v>
      </c>
      <c r="CE21">
        <f t="shared" si="9"/>
        <v>0</v>
      </c>
      <c r="CF21">
        <f t="shared" si="9"/>
        <v>0</v>
      </c>
      <c r="CG21">
        <f t="shared" si="9"/>
        <v>0</v>
      </c>
      <c r="CH21">
        <f t="shared" si="9"/>
        <v>0</v>
      </c>
      <c r="CI21">
        <f t="shared" si="9"/>
        <v>0</v>
      </c>
      <c r="CJ21">
        <f t="shared" si="9"/>
        <v>0</v>
      </c>
      <c r="CK21">
        <f t="shared" si="9"/>
        <v>0</v>
      </c>
      <c r="CL21">
        <f t="shared" si="9"/>
        <v>0</v>
      </c>
      <c r="CM21">
        <f t="shared" si="9"/>
        <v>0</v>
      </c>
      <c r="CN21">
        <f t="shared" si="9"/>
        <v>0</v>
      </c>
      <c r="CO21">
        <f t="shared" si="9"/>
        <v>0</v>
      </c>
      <c r="CP21">
        <f t="shared" si="9"/>
        <v>0</v>
      </c>
      <c r="CQ21">
        <f t="shared" si="9"/>
        <v>0</v>
      </c>
      <c r="CR21">
        <f t="shared" si="9"/>
        <v>0</v>
      </c>
      <c r="CS21">
        <f t="shared" si="9"/>
        <v>0</v>
      </c>
      <c r="CT21">
        <f t="shared" si="9"/>
        <v>0</v>
      </c>
    </row>
    <row r="22" spans="1:98" x14ac:dyDescent="0.25">
      <c r="A22" t="s">
        <v>33</v>
      </c>
      <c r="B22" t="s">
        <v>91</v>
      </c>
      <c r="C22" s="9" t="s">
        <v>118</v>
      </c>
      <c r="D22" s="40">
        <v>1.71</v>
      </c>
      <c r="E22" s="41">
        <v>15073</v>
      </c>
      <c r="F22" s="12">
        <v>15</v>
      </c>
      <c r="G22" s="12">
        <v>2</v>
      </c>
      <c r="H22" s="12">
        <f t="shared" si="10"/>
        <v>2</v>
      </c>
      <c r="I22" s="12">
        <v>2020</v>
      </c>
      <c r="J22" s="20">
        <f>HLOOKUP($B$8,Prices!$A$28:$V$29,2,FALSE)/HLOOKUP(I22,Prices!$A$28:$V$29,2,FALSE)</f>
        <v>1</v>
      </c>
      <c r="K22" s="14">
        <f t="shared" si="0"/>
        <v>0.10645576516772763</v>
      </c>
      <c r="L22" s="45">
        <v>0.95</v>
      </c>
      <c r="M22" s="5">
        <v>1</v>
      </c>
      <c r="N22" s="5">
        <f t="shared" si="11"/>
        <v>0.95</v>
      </c>
      <c r="O22" s="16">
        <f t="shared" si="1"/>
        <v>183936.9446071031</v>
      </c>
      <c r="P22" s="19">
        <f t="shared" si="2"/>
        <v>179818.31181180786</v>
      </c>
      <c r="Q22" s="6">
        <f t="shared" si="12"/>
        <v>193617.83642852958</v>
      </c>
      <c r="R22" s="34">
        <f t="shared" si="3"/>
        <v>8.2899590884629042</v>
      </c>
      <c r="S22" s="11">
        <v>1.6</v>
      </c>
      <c r="T22" s="11">
        <f>WCPriceCentral</f>
        <v>30.645906040268457</v>
      </c>
      <c r="U22" s="46">
        <f>U19-0.03</f>
        <v>0.31999999999999995</v>
      </c>
      <c r="V22" s="6">
        <f t="shared" si="13"/>
        <v>95.768456375838937</v>
      </c>
      <c r="W22" s="26">
        <f>S22*J22+V22*HLOOKUP($B$8,Prices!$A$28:$V$29,2,FALSE)/Prices!$J$29</f>
        <v>88.642117438756344</v>
      </c>
      <c r="X22" t="s">
        <v>116</v>
      </c>
      <c r="Y22" t="s">
        <v>116</v>
      </c>
      <c r="Z22" t="s">
        <v>115</v>
      </c>
      <c r="AA22" t="s">
        <v>116</v>
      </c>
      <c r="AB22" t="s">
        <v>75</v>
      </c>
      <c r="AC22">
        <f t="shared" si="4"/>
        <v>814285.7142857142</v>
      </c>
      <c r="AD22">
        <f t="shared" si="4"/>
        <v>775510.20408163266</v>
      </c>
      <c r="AE22">
        <f t="shared" si="4"/>
        <v>13020.624122664938</v>
      </c>
      <c r="AF22">
        <f t="shared" si="4"/>
        <v>12400.594402538038</v>
      </c>
      <c r="AG22">
        <f t="shared" si="4"/>
        <v>11810.089907179081</v>
      </c>
      <c r="AH22">
        <f t="shared" si="4"/>
        <v>11247.704673503889</v>
      </c>
      <c r="AI22">
        <f t="shared" si="4"/>
        <v>10712.09968905132</v>
      </c>
      <c r="AJ22">
        <f t="shared" si="4"/>
        <v>10201.999703858402</v>
      </c>
      <c r="AK22">
        <f t="shared" si="4"/>
        <v>9716.1901941508586</v>
      </c>
      <c r="AL22">
        <f t="shared" si="4"/>
        <v>9253.5144706198644</v>
      </c>
      <c r="AM22">
        <f t="shared" si="5"/>
        <v>8812.870924399871</v>
      </c>
      <c r="AN22">
        <f t="shared" si="5"/>
        <v>8393.2104041903549</v>
      </c>
      <c r="AO22">
        <f t="shared" si="5"/>
        <v>7993.533718276527</v>
      </c>
      <c r="AP22">
        <f t="shared" si="5"/>
        <v>7612.8892555014554</v>
      </c>
      <c r="AQ22">
        <f t="shared" si="5"/>
        <v>7250.3707195251936</v>
      </c>
      <c r="AR22">
        <f t="shared" si="5"/>
        <v>6905.1149709763758</v>
      </c>
      <c r="AS22">
        <f t="shared" si="5"/>
        <v>6576.2999723584517</v>
      </c>
      <c r="AT22">
        <f t="shared" si="5"/>
        <v>0</v>
      </c>
      <c r="AU22">
        <f t="shared" si="5"/>
        <v>0</v>
      </c>
      <c r="AV22">
        <f t="shared" si="5"/>
        <v>0</v>
      </c>
      <c r="AW22">
        <f t="shared" si="6"/>
        <v>0</v>
      </c>
      <c r="AX22">
        <f t="shared" si="6"/>
        <v>0</v>
      </c>
      <c r="AY22">
        <f t="shared" si="6"/>
        <v>0</v>
      </c>
      <c r="AZ22">
        <f t="shared" si="6"/>
        <v>0</v>
      </c>
      <c r="BA22">
        <f t="shared" si="6"/>
        <v>0</v>
      </c>
      <c r="BB22">
        <f t="shared" si="6"/>
        <v>0</v>
      </c>
      <c r="BC22">
        <f t="shared" si="6"/>
        <v>0</v>
      </c>
      <c r="BD22">
        <f t="shared" si="6"/>
        <v>0</v>
      </c>
      <c r="BE22">
        <f t="shared" si="6"/>
        <v>0</v>
      </c>
      <c r="BF22">
        <f t="shared" si="6"/>
        <v>0</v>
      </c>
      <c r="BG22">
        <f t="shared" si="7"/>
        <v>0</v>
      </c>
      <c r="BH22">
        <f t="shared" si="7"/>
        <v>0</v>
      </c>
      <c r="BI22">
        <f t="shared" si="7"/>
        <v>0</v>
      </c>
      <c r="BJ22">
        <f t="shared" si="7"/>
        <v>0</v>
      </c>
      <c r="BK22">
        <f t="shared" si="7"/>
        <v>0</v>
      </c>
      <c r="BL22">
        <f t="shared" si="7"/>
        <v>0</v>
      </c>
      <c r="BM22">
        <f t="shared" si="7"/>
        <v>0</v>
      </c>
      <c r="BN22">
        <f t="shared" si="7"/>
        <v>0</v>
      </c>
      <c r="BO22">
        <f t="shared" si="7"/>
        <v>0</v>
      </c>
      <c r="BP22">
        <f t="shared" si="7"/>
        <v>0</v>
      </c>
      <c r="BQ22">
        <f t="shared" si="8"/>
        <v>0</v>
      </c>
      <c r="BR22">
        <f t="shared" si="8"/>
        <v>0</v>
      </c>
      <c r="BS22">
        <f t="shared" si="8"/>
        <v>0</v>
      </c>
      <c r="BT22">
        <f t="shared" si="8"/>
        <v>0</v>
      </c>
      <c r="BU22">
        <f t="shared" si="8"/>
        <v>0</v>
      </c>
      <c r="BV22">
        <f t="shared" si="8"/>
        <v>0</v>
      </c>
      <c r="BW22">
        <f t="shared" si="8"/>
        <v>0</v>
      </c>
      <c r="BX22">
        <f t="shared" si="8"/>
        <v>0</v>
      </c>
      <c r="BY22">
        <f t="shared" si="8"/>
        <v>0</v>
      </c>
      <c r="BZ22">
        <f t="shared" si="8"/>
        <v>0</v>
      </c>
      <c r="CA22">
        <f t="shared" si="9"/>
        <v>0</v>
      </c>
      <c r="CB22">
        <f t="shared" si="9"/>
        <v>0</v>
      </c>
      <c r="CC22">
        <f t="shared" si="9"/>
        <v>0</v>
      </c>
      <c r="CD22">
        <f t="shared" si="9"/>
        <v>0</v>
      </c>
      <c r="CE22">
        <f t="shared" si="9"/>
        <v>0</v>
      </c>
      <c r="CF22">
        <f t="shared" si="9"/>
        <v>0</v>
      </c>
      <c r="CG22">
        <f t="shared" si="9"/>
        <v>0</v>
      </c>
      <c r="CH22">
        <f t="shared" si="9"/>
        <v>0</v>
      </c>
      <c r="CI22">
        <f t="shared" si="9"/>
        <v>0</v>
      </c>
      <c r="CJ22">
        <f t="shared" si="9"/>
        <v>0</v>
      </c>
      <c r="CK22">
        <f t="shared" si="9"/>
        <v>0</v>
      </c>
      <c r="CL22">
        <f t="shared" si="9"/>
        <v>0</v>
      </c>
      <c r="CM22">
        <f t="shared" si="9"/>
        <v>0</v>
      </c>
      <c r="CN22">
        <f t="shared" si="9"/>
        <v>0</v>
      </c>
      <c r="CO22">
        <f t="shared" si="9"/>
        <v>0</v>
      </c>
      <c r="CP22">
        <f t="shared" si="9"/>
        <v>0</v>
      </c>
      <c r="CQ22">
        <f t="shared" si="9"/>
        <v>0</v>
      </c>
      <c r="CR22">
        <f t="shared" si="9"/>
        <v>0</v>
      </c>
      <c r="CS22">
        <f t="shared" si="9"/>
        <v>0</v>
      </c>
      <c r="CT22">
        <f t="shared" si="9"/>
        <v>0</v>
      </c>
    </row>
    <row r="23" spans="1:98" x14ac:dyDescent="0.25">
      <c r="A23" t="s">
        <v>68</v>
      </c>
      <c r="B23" t="s">
        <v>209</v>
      </c>
      <c r="C23" s="9">
        <v>1</v>
      </c>
      <c r="D23" s="40">
        <f>0.6-Heat_capacity_unit_investment_cost/C23</f>
        <v>0.54999999999999993</v>
      </c>
      <c r="E23" s="41">
        <f>19779-Heat_capacity_fixed_operating_costs/C24</f>
        <v>17404</v>
      </c>
      <c r="F23" s="12">
        <v>25</v>
      </c>
      <c r="G23" s="12">
        <v>1.5</v>
      </c>
      <c r="H23" s="12">
        <f t="shared" si="10"/>
        <v>2</v>
      </c>
      <c r="I23" s="12">
        <v>2020</v>
      </c>
      <c r="J23" s="20">
        <f>HLOOKUP($B$8,Prices!$A$28:$V$29,2,FALSE)/HLOOKUP(I23,Prices!$A$28:$V$29,2,FALSE)</f>
        <v>1</v>
      </c>
      <c r="K23" s="14">
        <f t="shared" si="0"/>
        <v>7.3284239457672692E-2</v>
      </c>
      <c r="L23" s="45">
        <f>1-2.5/52-0.02</f>
        <v>0.93192307692307685</v>
      </c>
      <c r="M23" s="5">
        <v>1</v>
      </c>
      <c r="N23" s="5">
        <f t="shared" si="11"/>
        <v>0.93192307692307685</v>
      </c>
      <c r="O23" s="16">
        <f t="shared" si="1"/>
        <v>56020.028897899239</v>
      </c>
      <c r="P23" s="19">
        <f t="shared" si="2"/>
        <v>56427.851514576287</v>
      </c>
      <c r="Q23" s="6">
        <f t="shared" si="12"/>
        <v>60112.288540874135</v>
      </c>
      <c r="R23" s="34">
        <f t="shared" si="3"/>
        <v>2.5737732737328294</v>
      </c>
      <c r="S23" s="11">
        <v>4.47</v>
      </c>
      <c r="T23" s="11">
        <f>NatgasPriceCentral</f>
        <v>60.700348993288586</v>
      </c>
      <c r="U23" s="46">
        <f>41/(100-41/1.05)</f>
        <v>0.67265624999999996</v>
      </c>
      <c r="V23" s="6">
        <f t="shared" si="13"/>
        <v>90.23977550686341</v>
      </c>
      <c r="W23" s="26">
        <f>S23*J23+V23*HLOOKUP($B$8,Prices!$A$28:$V$29,2,FALSE)/Prices!$J$29</f>
        <v>86.487205190090521</v>
      </c>
      <c r="X23" s="29" t="s">
        <v>116</v>
      </c>
      <c r="Y23" s="29" t="s">
        <v>116</v>
      </c>
      <c r="Z23" s="29" t="s">
        <v>115</v>
      </c>
      <c r="AA23" s="29" t="s">
        <v>116</v>
      </c>
      <c r="AB23" t="s">
        <v>75</v>
      </c>
      <c r="AC23">
        <f t="shared" si="4"/>
        <v>261904.76190476184</v>
      </c>
      <c r="AD23">
        <f t="shared" si="4"/>
        <v>249433.10657596367</v>
      </c>
      <c r="AE23">
        <f t="shared" si="4"/>
        <v>15034.229564841808</v>
      </c>
      <c r="AF23">
        <f t="shared" si="4"/>
        <v>14318.313871277915</v>
      </c>
      <c r="AG23">
        <f t="shared" si="4"/>
        <v>13636.489401217059</v>
      </c>
      <c r="AH23">
        <f t="shared" si="4"/>
        <v>12987.132763063868</v>
      </c>
      <c r="AI23">
        <f t="shared" si="4"/>
        <v>12368.697869584634</v>
      </c>
      <c r="AJ23">
        <f t="shared" si="4"/>
        <v>11779.712256747272</v>
      </c>
      <c r="AK23">
        <f t="shared" si="4"/>
        <v>11218.773577854543</v>
      </c>
      <c r="AL23">
        <f t="shared" si="4"/>
        <v>10684.546264623375</v>
      </c>
      <c r="AM23">
        <f t="shared" si="5"/>
        <v>10175.758347260356</v>
      </c>
      <c r="AN23">
        <f t="shared" si="5"/>
        <v>9691.1984259622459</v>
      </c>
      <c r="AO23">
        <f t="shared" si="5"/>
        <v>9229.7127866307092</v>
      </c>
      <c r="AP23">
        <f t="shared" si="5"/>
        <v>8790.2026539340095</v>
      </c>
      <c r="AQ23">
        <f t="shared" si="5"/>
        <v>8371.6215751752443</v>
      </c>
      <c r="AR23">
        <f t="shared" si="5"/>
        <v>7972.9729287383298</v>
      </c>
      <c r="AS23">
        <f t="shared" si="5"/>
        <v>7593.3075511793604</v>
      </c>
      <c r="AT23">
        <f t="shared" si="5"/>
        <v>7231.7214773136766</v>
      </c>
      <c r="AU23">
        <f t="shared" si="5"/>
        <v>6887.3537879177875</v>
      </c>
      <c r="AV23">
        <f t="shared" si="5"/>
        <v>6559.384559921702</v>
      </c>
      <c r="AW23">
        <f t="shared" si="6"/>
        <v>6247.032914211145</v>
      </c>
      <c r="AX23">
        <f t="shared" si="6"/>
        <v>5949.5551563915669</v>
      </c>
      <c r="AY23">
        <f t="shared" si="6"/>
        <v>5666.2430060872057</v>
      </c>
      <c r="AZ23">
        <f t="shared" si="6"/>
        <v>5396.4219105592447</v>
      </c>
      <c r="BA23">
        <f t="shared" si="6"/>
        <v>5139.449438627852</v>
      </c>
      <c r="BB23">
        <f t="shared" si="6"/>
        <v>4894.7137510741441</v>
      </c>
      <c r="BC23">
        <f t="shared" si="6"/>
        <v>4661.6321438801369</v>
      </c>
      <c r="BD23">
        <f t="shared" si="6"/>
        <v>0</v>
      </c>
      <c r="BE23">
        <f t="shared" si="6"/>
        <v>0</v>
      </c>
      <c r="BF23">
        <f t="shared" si="6"/>
        <v>0</v>
      </c>
      <c r="BG23">
        <f t="shared" si="7"/>
        <v>0</v>
      </c>
      <c r="BH23">
        <f t="shared" si="7"/>
        <v>0</v>
      </c>
      <c r="BI23">
        <f t="shared" si="7"/>
        <v>0</v>
      </c>
      <c r="BJ23">
        <f t="shared" si="7"/>
        <v>0</v>
      </c>
      <c r="BK23">
        <f t="shared" si="7"/>
        <v>0</v>
      </c>
      <c r="BL23">
        <f t="shared" si="7"/>
        <v>0</v>
      </c>
      <c r="BM23">
        <f t="shared" si="7"/>
        <v>0</v>
      </c>
      <c r="BN23">
        <f t="shared" si="7"/>
        <v>0</v>
      </c>
      <c r="BO23">
        <f t="shared" si="7"/>
        <v>0</v>
      </c>
      <c r="BP23">
        <f t="shared" si="7"/>
        <v>0</v>
      </c>
      <c r="BQ23">
        <f t="shared" si="8"/>
        <v>0</v>
      </c>
      <c r="BR23">
        <f t="shared" si="8"/>
        <v>0</v>
      </c>
      <c r="BS23">
        <f t="shared" si="8"/>
        <v>0</v>
      </c>
      <c r="BT23">
        <f t="shared" si="8"/>
        <v>0</v>
      </c>
      <c r="BU23">
        <f t="shared" si="8"/>
        <v>0</v>
      </c>
      <c r="BV23">
        <f t="shared" si="8"/>
        <v>0</v>
      </c>
      <c r="BW23">
        <f t="shared" si="8"/>
        <v>0</v>
      </c>
      <c r="BX23">
        <f t="shared" si="8"/>
        <v>0</v>
      </c>
      <c r="BY23">
        <f t="shared" si="8"/>
        <v>0</v>
      </c>
      <c r="BZ23">
        <f t="shared" si="8"/>
        <v>0</v>
      </c>
      <c r="CA23">
        <f t="shared" si="9"/>
        <v>0</v>
      </c>
      <c r="CB23">
        <f t="shared" si="9"/>
        <v>0</v>
      </c>
      <c r="CC23">
        <f t="shared" si="9"/>
        <v>0</v>
      </c>
      <c r="CD23">
        <f t="shared" si="9"/>
        <v>0</v>
      </c>
      <c r="CE23">
        <f t="shared" si="9"/>
        <v>0</v>
      </c>
      <c r="CF23">
        <f t="shared" si="9"/>
        <v>0</v>
      </c>
      <c r="CG23">
        <f t="shared" si="9"/>
        <v>0</v>
      </c>
      <c r="CH23">
        <f t="shared" si="9"/>
        <v>0</v>
      </c>
      <c r="CI23">
        <f t="shared" si="9"/>
        <v>0</v>
      </c>
      <c r="CJ23">
        <f t="shared" si="9"/>
        <v>0</v>
      </c>
      <c r="CK23">
        <f t="shared" si="9"/>
        <v>0</v>
      </c>
      <c r="CL23">
        <f t="shared" si="9"/>
        <v>0</v>
      </c>
      <c r="CM23">
        <f t="shared" si="9"/>
        <v>0</v>
      </c>
      <c r="CN23">
        <f t="shared" si="9"/>
        <v>0</v>
      </c>
      <c r="CO23">
        <f t="shared" si="9"/>
        <v>0</v>
      </c>
      <c r="CP23">
        <f t="shared" si="9"/>
        <v>0</v>
      </c>
      <c r="CQ23">
        <f t="shared" si="9"/>
        <v>0</v>
      </c>
      <c r="CR23">
        <f t="shared" si="9"/>
        <v>0</v>
      </c>
      <c r="CS23">
        <f t="shared" si="9"/>
        <v>0</v>
      </c>
      <c r="CT23">
        <f t="shared" si="9"/>
        <v>0</v>
      </c>
    </row>
    <row r="24" spans="1:98" x14ac:dyDescent="0.25">
      <c r="A24" t="s">
        <v>69</v>
      </c>
      <c r="B24" t="s">
        <v>210</v>
      </c>
      <c r="C24" s="9">
        <v>0.8</v>
      </c>
      <c r="D24" s="40">
        <f>0.744-Heat_capacity_unit_investment_cost/C24</f>
        <v>0.68149999999999999</v>
      </c>
      <c r="E24" s="41">
        <f>19779-Heat_capacity_fixed_operating_costs/C25</f>
        <v>16612.333333333332</v>
      </c>
      <c r="F24" s="12">
        <v>25</v>
      </c>
      <c r="G24" s="12">
        <v>1.5</v>
      </c>
      <c r="H24" s="12">
        <f t="shared" si="10"/>
        <v>2</v>
      </c>
      <c r="I24" s="12">
        <v>2020</v>
      </c>
      <c r="J24" s="20">
        <f>HLOOKUP($B$8,Prices!$A$28:$V$29,2,FALSE)/HLOOKUP(I24,Prices!$A$28:$V$29,2,FALSE)</f>
        <v>1</v>
      </c>
      <c r="K24" s="14">
        <f t="shared" si="0"/>
        <v>7.3284239457672692E-2</v>
      </c>
      <c r="L24" s="45">
        <f t="shared" ref="L24" si="14">1-2.5/52-0.02</f>
        <v>0.93192307692307685</v>
      </c>
      <c r="M24" s="5">
        <v>1</v>
      </c>
      <c r="N24" s="5">
        <f t="shared" si="11"/>
        <v>0.93192307692307685</v>
      </c>
      <c r="O24" s="16">
        <f t="shared" si="1"/>
        <v>64580.46592146076</v>
      </c>
      <c r="P24" s="19">
        <f t="shared" si="2"/>
        <v>64966.432982758313</v>
      </c>
      <c r="Q24" s="6">
        <f t="shared" si="12"/>
        <v>69298.064959058189</v>
      </c>
      <c r="R24" s="34">
        <f t="shared" si="3"/>
        <v>2.9670723215228936</v>
      </c>
      <c r="S24" s="11">
        <v>5.42</v>
      </c>
      <c r="T24" s="11">
        <f>NatgasPriceSmall</f>
        <v>63.976590604026846</v>
      </c>
      <c r="U24" s="46">
        <f>37/(100-37/C24/1.05)</f>
        <v>0.66127659574468078</v>
      </c>
      <c r="V24" s="6">
        <f t="shared" si="13"/>
        <v>96.747096473270986</v>
      </c>
      <c r="W24" s="26">
        <f>S24*J24+V24*HLOOKUP($B$8,Prices!$A$28:$V$29,2,FALSE)/Prices!$J$29</f>
        <v>93.351584696708812</v>
      </c>
      <c r="X24" s="29" t="s">
        <v>116</v>
      </c>
      <c r="Y24" s="29" t="s">
        <v>116</v>
      </c>
      <c r="Z24" s="29" t="s">
        <v>115</v>
      </c>
      <c r="AA24" s="29" t="s">
        <v>116</v>
      </c>
      <c r="AB24" t="s">
        <v>75</v>
      </c>
      <c r="AC24">
        <f t="shared" si="4"/>
        <v>324523.80952380953</v>
      </c>
      <c r="AD24">
        <f t="shared" si="4"/>
        <v>309070.29478458047</v>
      </c>
      <c r="AE24">
        <f t="shared" si="4"/>
        <v>14350.358132671056</v>
      </c>
      <c r="AF24">
        <f t="shared" si="4"/>
        <v>13667.007745401006</v>
      </c>
      <c r="AG24">
        <f t="shared" si="4"/>
        <v>13016.197852762862</v>
      </c>
      <c r="AH24">
        <f t="shared" si="4"/>
        <v>12396.378907393204</v>
      </c>
      <c r="AI24">
        <f t="shared" si="4"/>
        <v>11806.075149898286</v>
      </c>
      <c r="AJ24">
        <f t="shared" si="4"/>
        <v>11243.881095141227</v>
      </c>
      <c r="AK24">
        <f t="shared" si="4"/>
        <v>10708.458185848787</v>
      </c>
      <c r="AL24">
        <f t="shared" si="4"/>
        <v>10198.531605570273</v>
      </c>
      <c r="AM24">
        <f t="shared" si="5"/>
        <v>9712.8872434002587</v>
      </c>
      <c r="AN24">
        <f t="shared" si="5"/>
        <v>9250.3688032383434</v>
      </c>
      <c r="AO24">
        <f t="shared" si="5"/>
        <v>8809.8750507031837</v>
      </c>
      <c r="AP24">
        <f t="shared" si="5"/>
        <v>8390.3571911458912</v>
      </c>
      <c r="AQ24">
        <f t="shared" si="5"/>
        <v>7990.8163725198929</v>
      </c>
      <c r="AR24">
        <f t="shared" si="5"/>
        <v>7610.3013071618034</v>
      </c>
      <c r="AS24">
        <f t="shared" si="5"/>
        <v>7247.9060068207646</v>
      </c>
      <c r="AT24">
        <f t="shared" si="5"/>
        <v>6902.7676255435854</v>
      </c>
      <c r="AU24">
        <f t="shared" si="5"/>
        <v>6574.0644052796051</v>
      </c>
      <c r="AV24">
        <f t="shared" si="5"/>
        <v>6261.0137193139099</v>
      </c>
      <c r="AW24">
        <f t="shared" si="6"/>
        <v>5962.8702088703903</v>
      </c>
      <c r="AX24">
        <f t="shared" si="6"/>
        <v>5678.9240084479916</v>
      </c>
      <c r="AY24">
        <f t="shared" si="6"/>
        <v>5408.4990556647526</v>
      </c>
      <c r="AZ24">
        <f t="shared" si="6"/>
        <v>5150.9514815854791</v>
      </c>
      <c r="BA24">
        <f t="shared" si="6"/>
        <v>4905.6680777004558</v>
      </c>
      <c r="BB24">
        <f t="shared" si="6"/>
        <v>4672.0648359051966</v>
      </c>
      <c r="BC24">
        <f t="shared" si="6"/>
        <v>4449.5855580049483</v>
      </c>
      <c r="BD24">
        <f t="shared" si="6"/>
        <v>0</v>
      </c>
      <c r="BE24">
        <f t="shared" si="6"/>
        <v>0</v>
      </c>
      <c r="BF24">
        <f t="shared" si="6"/>
        <v>0</v>
      </c>
      <c r="BG24">
        <f t="shared" si="7"/>
        <v>0</v>
      </c>
      <c r="BH24">
        <f t="shared" si="7"/>
        <v>0</v>
      </c>
      <c r="BI24">
        <f t="shared" si="7"/>
        <v>0</v>
      </c>
      <c r="BJ24">
        <f t="shared" si="7"/>
        <v>0</v>
      </c>
      <c r="BK24">
        <f t="shared" si="7"/>
        <v>0</v>
      </c>
      <c r="BL24">
        <f t="shared" si="7"/>
        <v>0</v>
      </c>
      <c r="BM24">
        <f t="shared" si="7"/>
        <v>0</v>
      </c>
      <c r="BN24">
        <f t="shared" si="7"/>
        <v>0</v>
      </c>
      <c r="BO24">
        <f t="shared" si="7"/>
        <v>0</v>
      </c>
      <c r="BP24">
        <f t="shared" si="7"/>
        <v>0</v>
      </c>
      <c r="BQ24">
        <f t="shared" si="8"/>
        <v>0</v>
      </c>
      <c r="BR24">
        <f t="shared" si="8"/>
        <v>0</v>
      </c>
      <c r="BS24">
        <f t="shared" si="8"/>
        <v>0</v>
      </c>
      <c r="BT24">
        <f t="shared" si="8"/>
        <v>0</v>
      </c>
      <c r="BU24">
        <f t="shared" si="8"/>
        <v>0</v>
      </c>
      <c r="BV24">
        <f t="shared" si="8"/>
        <v>0</v>
      </c>
      <c r="BW24">
        <f t="shared" si="8"/>
        <v>0</v>
      </c>
      <c r="BX24">
        <f t="shared" si="8"/>
        <v>0</v>
      </c>
      <c r="BY24">
        <f t="shared" si="8"/>
        <v>0</v>
      </c>
      <c r="BZ24">
        <f t="shared" si="8"/>
        <v>0</v>
      </c>
      <c r="CA24">
        <f t="shared" si="9"/>
        <v>0</v>
      </c>
      <c r="CB24">
        <f t="shared" si="9"/>
        <v>0</v>
      </c>
      <c r="CC24">
        <f t="shared" si="9"/>
        <v>0</v>
      </c>
      <c r="CD24">
        <f t="shared" si="9"/>
        <v>0</v>
      </c>
      <c r="CE24">
        <f t="shared" si="9"/>
        <v>0</v>
      </c>
      <c r="CF24">
        <f t="shared" si="9"/>
        <v>0</v>
      </c>
      <c r="CG24">
        <f t="shared" si="9"/>
        <v>0</v>
      </c>
      <c r="CH24">
        <f t="shared" si="9"/>
        <v>0</v>
      </c>
      <c r="CI24">
        <f t="shared" si="9"/>
        <v>0</v>
      </c>
      <c r="CJ24">
        <f t="shared" si="9"/>
        <v>0</v>
      </c>
      <c r="CK24">
        <f t="shared" si="9"/>
        <v>0</v>
      </c>
      <c r="CL24">
        <f t="shared" si="9"/>
        <v>0</v>
      </c>
      <c r="CM24">
        <f t="shared" si="9"/>
        <v>0</v>
      </c>
      <c r="CN24">
        <f t="shared" si="9"/>
        <v>0</v>
      </c>
      <c r="CO24">
        <f t="shared" si="9"/>
        <v>0</v>
      </c>
      <c r="CP24">
        <f t="shared" si="9"/>
        <v>0</v>
      </c>
      <c r="CQ24">
        <f t="shared" si="9"/>
        <v>0</v>
      </c>
      <c r="CR24">
        <f t="shared" si="9"/>
        <v>0</v>
      </c>
      <c r="CS24">
        <f t="shared" si="9"/>
        <v>0</v>
      </c>
      <c r="CT24">
        <f t="shared" si="9"/>
        <v>0</v>
      </c>
    </row>
    <row r="25" spans="1:98" x14ac:dyDescent="0.25">
      <c r="A25" t="s">
        <v>70</v>
      </c>
      <c r="B25" t="s">
        <v>211</v>
      </c>
      <c r="C25" s="9">
        <v>0.6</v>
      </c>
      <c r="D25" s="40">
        <f>1.1697-Heat_capacity_unit_investment_cost/C25</f>
        <v>1.0863666666666667</v>
      </c>
      <c r="E25" s="41">
        <f>-Heat_capacity_fixed_operating_costs/C25</f>
        <v>-3166.666666666667</v>
      </c>
      <c r="F25" s="12">
        <v>15</v>
      </c>
      <c r="G25" s="12">
        <v>0.5</v>
      </c>
      <c r="H25" s="12">
        <f t="shared" si="10"/>
        <v>1</v>
      </c>
      <c r="I25" s="12">
        <v>2020</v>
      </c>
      <c r="J25" s="20">
        <f>HLOOKUP($B$8,Prices!$A$28:$V$29,2,FALSE)/HLOOKUP(I25,Prices!$A$28:$V$29,2,FALSE)</f>
        <v>1</v>
      </c>
      <c r="K25" s="14">
        <f t="shared" si="0"/>
        <v>9.8599075188373173E-2</v>
      </c>
      <c r="L25" s="45">
        <v>0.95</v>
      </c>
      <c r="M25" s="5">
        <v>1</v>
      </c>
      <c r="N25" s="5">
        <f t="shared" si="11"/>
        <v>0.95</v>
      </c>
      <c r="O25" s="16">
        <f t="shared" si="1"/>
        <v>99050.327751745237</v>
      </c>
      <c r="P25" s="19">
        <f t="shared" si="2"/>
        <v>101496.38318242945</v>
      </c>
      <c r="Q25" s="6">
        <f t="shared" si="12"/>
        <v>104263.50289657393</v>
      </c>
      <c r="R25" s="34">
        <f t="shared" si="3"/>
        <v>4.4641557274682517</v>
      </c>
      <c r="S25" s="11">
        <v>14.887</v>
      </c>
      <c r="T25" s="11">
        <f>NatgasPriceSmall</f>
        <v>63.976590604026846</v>
      </c>
      <c r="U25" s="46">
        <f>28/(100-28/C25/1.05)</f>
        <v>0.504</v>
      </c>
      <c r="V25" s="6">
        <f t="shared" si="13"/>
        <v>126.93767976989453</v>
      </c>
      <c r="W25" s="26">
        <f>S25*J25+V25*HLOOKUP($B$8,Prices!$A$28:$V$29,2,FALSE)/Prices!$J$29</f>
        <v>130.25822814816399</v>
      </c>
      <c r="X25" s="29" t="s">
        <v>116</v>
      </c>
      <c r="Y25" s="29" t="s">
        <v>116</v>
      </c>
      <c r="Z25" s="29" t="s">
        <v>115</v>
      </c>
      <c r="AA25" s="29" t="s">
        <v>116</v>
      </c>
      <c r="AB25" t="s">
        <v>75</v>
      </c>
      <c r="AC25">
        <f t="shared" si="4"/>
        <v>1034634.9206349207</v>
      </c>
      <c r="AD25">
        <f t="shared" si="4"/>
        <v>-2872.2600151171582</v>
      </c>
      <c r="AE25">
        <f t="shared" si="4"/>
        <v>-2735.4857286830074</v>
      </c>
      <c r="AF25">
        <f t="shared" si="4"/>
        <v>-2605.2245035076267</v>
      </c>
      <c r="AG25">
        <f t="shared" si="4"/>
        <v>-2481.1661938167867</v>
      </c>
      <c r="AH25">
        <f t="shared" si="4"/>
        <v>-2363.0154226826544</v>
      </c>
      <c r="AI25">
        <f t="shared" si="4"/>
        <v>-2250.4908787453846</v>
      </c>
      <c r="AJ25">
        <f t="shared" si="4"/>
        <v>-2143.3246464241761</v>
      </c>
      <c r="AK25">
        <f t="shared" si="4"/>
        <v>-2041.2615680230249</v>
      </c>
      <c r="AL25">
        <f t="shared" si="4"/>
        <v>-1944.0586362124047</v>
      </c>
      <c r="AM25">
        <f t="shared" si="5"/>
        <v>-1851.4844154403852</v>
      </c>
      <c r="AN25">
        <f t="shared" si="5"/>
        <v>-1763.3184908956052</v>
      </c>
      <c r="AO25">
        <f t="shared" si="5"/>
        <v>-1679.3509437101</v>
      </c>
      <c r="AP25">
        <f t="shared" si="5"/>
        <v>-1599.3818511524764</v>
      </c>
      <c r="AQ25">
        <f t="shared" si="5"/>
        <v>-1523.2208106214057</v>
      </c>
      <c r="AR25">
        <f t="shared" si="5"/>
        <v>-1450.6864863061007</v>
      </c>
      <c r="AS25">
        <f t="shared" si="5"/>
        <v>0</v>
      </c>
      <c r="AT25">
        <f t="shared" si="5"/>
        <v>0</v>
      </c>
      <c r="AU25">
        <f t="shared" si="5"/>
        <v>0</v>
      </c>
      <c r="AV25">
        <f t="shared" si="5"/>
        <v>0</v>
      </c>
      <c r="AW25">
        <f t="shared" si="6"/>
        <v>0</v>
      </c>
      <c r="AX25">
        <f t="shared" si="6"/>
        <v>0</v>
      </c>
      <c r="AY25">
        <f t="shared" si="6"/>
        <v>0</v>
      </c>
      <c r="AZ25">
        <f t="shared" si="6"/>
        <v>0</v>
      </c>
      <c r="BA25">
        <f t="shared" si="6"/>
        <v>0</v>
      </c>
      <c r="BB25">
        <f t="shared" si="6"/>
        <v>0</v>
      </c>
      <c r="BC25">
        <f t="shared" si="6"/>
        <v>0</v>
      </c>
      <c r="BD25">
        <f t="shared" si="6"/>
        <v>0</v>
      </c>
      <c r="BE25">
        <f t="shared" si="6"/>
        <v>0</v>
      </c>
      <c r="BF25">
        <f t="shared" si="6"/>
        <v>0</v>
      </c>
      <c r="BG25">
        <f t="shared" si="7"/>
        <v>0</v>
      </c>
      <c r="BH25">
        <f t="shared" si="7"/>
        <v>0</v>
      </c>
      <c r="BI25">
        <f t="shared" si="7"/>
        <v>0</v>
      </c>
      <c r="BJ25">
        <f t="shared" si="7"/>
        <v>0</v>
      </c>
      <c r="BK25">
        <f t="shared" si="7"/>
        <v>0</v>
      </c>
      <c r="BL25">
        <f t="shared" si="7"/>
        <v>0</v>
      </c>
      <c r="BM25">
        <f t="shared" si="7"/>
        <v>0</v>
      </c>
      <c r="BN25">
        <f t="shared" si="7"/>
        <v>0</v>
      </c>
      <c r="BO25">
        <f t="shared" si="7"/>
        <v>0</v>
      </c>
      <c r="BP25">
        <f t="shared" si="7"/>
        <v>0</v>
      </c>
      <c r="BQ25">
        <f t="shared" si="8"/>
        <v>0</v>
      </c>
      <c r="BR25">
        <f t="shared" si="8"/>
        <v>0</v>
      </c>
      <c r="BS25">
        <f t="shared" si="8"/>
        <v>0</v>
      </c>
      <c r="BT25">
        <f t="shared" si="8"/>
        <v>0</v>
      </c>
      <c r="BU25">
        <f t="shared" si="8"/>
        <v>0</v>
      </c>
      <c r="BV25">
        <f t="shared" si="8"/>
        <v>0</v>
      </c>
      <c r="BW25">
        <f t="shared" si="8"/>
        <v>0</v>
      </c>
      <c r="BX25">
        <f t="shared" si="8"/>
        <v>0</v>
      </c>
      <c r="BY25">
        <f t="shared" si="8"/>
        <v>0</v>
      </c>
      <c r="BZ25">
        <f t="shared" si="8"/>
        <v>0</v>
      </c>
      <c r="CA25">
        <f t="shared" si="9"/>
        <v>0</v>
      </c>
      <c r="CB25">
        <f t="shared" si="9"/>
        <v>0</v>
      </c>
      <c r="CC25">
        <f t="shared" si="9"/>
        <v>0</v>
      </c>
      <c r="CD25">
        <f t="shared" si="9"/>
        <v>0</v>
      </c>
      <c r="CE25">
        <f t="shared" si="9"/>
        <v>0</v>
      </c>
      <c r="CF25">
        <f t="shared" si="9"/>
        <v>0</v>
      </c>
      <c r="CG25">
        <f t="shared" si="9"/>
        <v>0</v>
      </c>
      <c r="CH25">
        <f t="shared" si="9"/>
        <v>0</v>
      </c>
      <c r="CI25">
        <f t="shared" si="9"/>
        <v>0</v>
      </c>
      <c r="CJ25">
        <f t="shared" si="9"/>
        <v>0</v>
      </c>
      <c r="CK25">
        <f t="shared" si="9"/>
        <v>0</v>
      </c>
      <c r="CL25">
        <f t="shared" si="9"/>
        <v>0</v>
      </c>
      <c r="CM25">
        <f t="shared" si="9"/>
        <v>0</v>
      </c>
      <c r="CN25">
        <f t="shared" si="9"/>
        <v>0</v>
      </c>
      <c r="CO25">
        <f t="shared" si="9"/>
        <v>0</v>
      </c>
      <c r="CP25">
        <f t="shared" si="9"/>
        <v>0</v>
      </c>
      <c r="CQ25">
        <f t="shared" si="9"/>
        <v>0</v>
      </c>
      <c r="CR25">
        <f t="shared" si="9"/>
        <v>0</v>
      </c>
      <c r="CS25">
        <f t="shared" si="9"/>
        <v>0</v>
      </c>
      <c r="CT25">
        <f t="shared" si="9"/>
        <v>0</v>
      </c>
    </row>
    <row r="26" spans="1:98" x14ac:dyDescent="0.25">
      <c r="A26" t="s">
        <v>34</v>
      </c>
      <c r="B26" t="s">
        <v>212</v>
      </c>
      <c r="C26" s="9" t="s">
        <v>118</v>
      </c>
      <c r="D26" s="40">
        <v>0.88300000000000001</v>
      </c>
      <c r="E26" s="41">
        <v>29562</v>
      </c>
      <c r="F26" s="12">
        <v>25</v>
      </c>
      <c r="G26" s="12">
        <v>2.5</v>
      </c>
      <c r="H26" s="12">
        <f t="shared" si="10"/>
        <v>3</v>
      </c>
      <c r="I26" s="12">
        <v>2020</v>
      </c>
      <c r="J26" s="20">
        <f>HLOOKUP($B$8,Prices!$A$28:$V$29,2,FALSE)/HLOOKUP(I26,Prices!$A$28:$V$29,2,FALSE)</f>
        <v>1</v>
      </c>
      <c r="K26" s="14">
        <f t="shared" si="0"/>
        <v>7.5031285885037005E-2</v>
      </c>
      <c r="L26" s="45">
        <f>1-2/52-0.03</f>
        <v>0.93153846153846154</v>
      </c>
      <c r="M26" s="5">
        <v>1</v>
      </c>
      <c r="N26" s="5">
        <f t="shared" si="11"/>
        <v>0.93153846153846154</v>
      </c>
      <c r="O26" s="16">
        <f t="shared" si="1"/>
        <v>93098.700430039346</v>
      </c>
      <c r="P26" s="19">
        <f t="shared" si="2"/>
        <v>92213.019795219749</v>
      </c>
      <c r="Q26" s="6">
        <f t="shared" si="12"/>
        <v>99940.801452560816</v>
      </c>
      <c r="R26" s="34">
        <f t="shared" si="3"/>
        <v>4.2790745449515981</v>
      </c>
      <c r="S26" s="11">
        <v>4.4660000000000002</v>
      </c>
      <c r="T26" s="11">
        <f>NatgasPriceCentral</f>
        <v>60.700348993288586</v>
      </c>
      <c r="U26" s="46">
        <v>0.61</v>
      </c>
      <c r="V26" s="6">
        <f t="shared" si="13"/>
        <v>99.5087688414567</v>
      </c>
      <c r="W26" s="26">
        <f>S26*J26+V26*HLOOKUP($B$8,Prices!$A$28:$V$29,2,FALSE)/Prices!$J$29</f>
        <v>94.907615866634131</v>
      </c>
      <c r="X26" s="29" t="s">
        <v>116</v>
      </c>
      <c r="Y26" s="29" t="s">
        <v>116</v>
      </c>
      <c r="Z26" s="29" t="s">
        <v>116</v>
      </c>
      <c r="AA26" s="29" t="s">
        <v>116</v>
      </c>
      <c r="AB26" t="s">
        <v>75</v>
      </c>
      <c r="AC26">
        <f t="shared" si="4"/>
        <v>280317.4603174603</v>
      </c>
      <c r="AD26">
        <f t="shared" si="4"/>
        <v>266969.00982615264</v>
      </c>
      <c r="AE26">
        <f t="shared" si="4"/>
        <v>254256.19983443109</v>
      </c>
      <c r="AF26">
        <f t="shared" si="4"/>
        <v>24320.730559797616</v>
      </c>
      <c r="AG26">
        <f t="shared" si="4"/>
        <v>23162.600533140583</v>
      </c>
      <c r="AH26">
        <f t="shared" si="4"/>
        <v>22059.619555371988</v>
      </c>
      <c r="AI26">
        <f t="shared" si="4"/>
        <v>21009.161481306652</v>
      </c>
      <c r="AJ26">
        <f t="shared" si="4"/>
        <v>20008.72522029205</v>
      </c>
      <c r="AK26">
        <f t="shared" si="4"/>
        <v>19055.928781230523</v>
      </c>
      <c r="AL26">
        <f t="shared" si="4"/>
        <v>18148.503601171928</v>
      </c>
      <c r="AM26">
        <f t="shared" si="5"/>
        <v>17284.289143973263</v>
      </c>
      <c r="AN26">
        <f t="shared" si="5"/>
        <v>16461.227756165015</v>
      </c>
      <c r="AO26">
        <f t="shared" si="5"/>
        <v>15677.359767776201</v>
      </c>
      <c r="AP26">
        <f t="shared" si="5"/>
        <v>14930.818826453529</v>
      </c>
      <c r="AQ26">
        <f t="shared" si="5"/>
        <v>14219.827453765261</v>
      </c>
      <c r="AR26">
        <f t="shared" si="5"/>
        <v>13542.692813109774</v>
      </c>
      <c r="AS26">
        <f t="shared" si="5"/>
        <v>12897.802679152162</v>
      </c>
      <c r="AT26">
        <f t="shared" si="5"/>
        <v>12283.621599192536</v>
      </c>
      <c r="AU26">
        <f t="shared" si="5"/>
        <v>11698.687237326225</v>
      </c>
      <c r="AV26">
        <f t="shared" si="5"/>
        <v>11141.606892691643</v>
      </c>
      <c r="AW26">
        <f t="shared" si="6"/>
        <v>10611.054183515851</v>
      </c>
      <c r="AX26">
        <f t="shared" si="6"/>
        <v>10105.765889062715</v>
      </c>
      <c r="AY26">
        <f t="shared" si="6"/>
        <v>9624.5389419644889</v>
      </c>
      <c r="AZ26">
        <f t="shared" si="6"/>
        <v>9166.2275637757048</v>
      </c>
      <c r="BA26">
        <f t="shared" si="6"/>
        <v>8729.7405369292428</v>
      </c>
      <c r="BB26">
        <f t="shared" si="6"/>
        <v>8314.0386065992789</v>
      </c>
      <c r="BC26">
        <f t="shared" si="6"/>
        <v>7918.1320062850273</v>
      </c>
      <c r="BD26">
        <f t="shared" si="6"/>
        <v>7541.0781012238358</v>
      </c>
      <c r="BE26">
        <f t="shared" si="6"/>
        <v>0</v>
      </c>
      <c r="BF26">
        <f t="shared" si="6"/>
        <v>0</v>
      </c>
      <c r="BG26">
        <f t="shared" si="7"/>
        <v>0</v>
      </c>
      <c r="BH26">
        <f t="shared" si="7"/>
        <v>0</v>
      </c>
      <c r="BI26">
        <f t="shared" si="7"/>
        <v>0</v>
      </c>
      <c r="BJ26">
        <f t="shared" si="7"/>
        <v>0</v>
      </c>
      <c r="BK26">
        <f t="shared" si="7"/>
        <v>0</v>
      </c>
      <c r="BL26">
        <f t="shared" si="7"/>
        <v>0</v>
      </c>
      <c r="BM26">
        <f t="shared" si="7"/>
        <v>0</v>
      </c>
      <c r="BN26">
        <f t="shared" si="7"/>
        <v>0</v>
      </c>
      <c r="BO26">
        <f t="shared" si="7"/>
        <v>0</v>
      </c>
      <c r="BP26">
        <f t="shared" si="7"/>
        <v>0</v>
      </c>
      <c r="BQ26">
        <f t="shared" si="8"/>
        <v>0</v>
      </c>
      <c r="BR26">
        <f t="shared" si="8"/>
        <v>0</v>
      </c>
      <c r="BS26">
        <f t="shared" si="8"/>
        <v>0</v>
      </c>
      <c r="BT26">
        <f t="shared" si="8"/>
        <v>0</v>
      </c>
      <c r="BU26">
        <f t="shared" si="8"/>
        <v>0</v>
      </c>
      <c r="BV26">
        <f t="shared" si="8"/>
        <v>0</v>
      </c>
      <c r="BW26">
        <f t="shared" si="8"/>
        <v>0</v>
      </c>
      <c r="BX26">
        <f t="shared" si="8"/>
        <v>0</v>
      </c>
      <c r="BY26">
        <f t="shared" si="8"/>
        <v>0</v>
      </c>
      <c r="BZ26">
        <f t="shared" si="8"/>
        <v>0</v>
      </c>
      <c r="CA26">
        <f t="shared" si="9"/>
        <v>0</v>
      </c>
      <c r="CB26">
        <f t="shared" si="9"/>
        <v>0</v>
      </c>
      <c r="CC26">
        <f t="shared" si="9"/>
        <v>0</v>
      </c>
      <c r="CD26">
        <f t="shared" si="9"/>
        <v>0</v>
      </c>
      <c r="CE26">
        <f t="shared" si="9"/>
        <v>0</v>
      </c>
      <c r="CF26">
        <f t="shared" si="9"/>
        <v>0</v>
      </c>
      <c r="CG26">
        <f t="shared" si="9"/>
        <v>0</v>
      </c>
      <c r="CH26">
        <f t="shared" si="9"/>
        <v>0</v>
      </c>
      <c r="CI26">
        <f t="shared" si="9"/>
        <v>0</v>
      </c>
      <c r="CJ26">
        <f t="shared" si="9"/>
        <v>0</v>
      </c>
      <c r="CK26">
        <f t="shared" si="9"/>
        <v>0</v>
      </c>
      <c r="CL26">
        <f t="shared" si="9"/>
        <v>0</v>
      </c>
      <c r="CM26">
        <f t="shared" si="9"/>
        <v>0</v>
      </c>
      <c r="CN26">
        <f t="shared" si="9"/>
        <v>0</v>
      </c>
      <c r="CO26">
        <f t="shared" si="9"/>
        <v>0</v>
      </c>
      <c r="CP26">
        <f t="shared" si="9"/>
        <v>0</v>
      </c>
      <c r="CQ26">
        <f t="shared" si="9"/>
        <v>0</v>
      </c>
      <c r="CR26">
        <f t="shared" si="9"/>
        <v>0</v>
      </c>
      <c r="CS26">
        <f t="shared" si="9"/>
        <v>0</v>
      </c>
      <c r="CT26">
        <f t="shared" si="9"/>
        <v>0</v>
      </c>
    </row>
    <row r="27" spans="1:98" x14ac:dyDescent="0.25">
      <c r="A27" t="s">
        <v>35</v>
      </c>
      <c r="B27" t="s">
        <v>213</v>
      </c>
      <c r="C27" s="9">
        <v>1.4</v>
      </c>
      <c r="D27" s="40">
        <f>1.276-Heat_capacity_unit_investment_cost/C27</f>
        <v>1.2402857142857142</v>
      </c>
      <c r="E27" s="41">
        <f>29562-Heat_capacity_fixed_operating_costs/C27</f>
        <v>28204.857142857141</v>
      </c>
      <c r="F27" s="12">
        <v>25</v>
      </c>
      <c r="G27" s="12">
        <v>2</v>
      </c>
      <c r="H27" s="12">
        <f t="shared" si="10"/>
        <v>2</v>
      </c>
      <c r="I27" s="12">
        <v>2020</v>
      </c>
      <c r="J27" s="20">
        <f>HLOOKUP($B$8,Prices!$A$28:$V$29,2,FALSE)/HLOOKUP(I27,Prices!$A$28:$V$29,2,FALSE)</f>
        <v>1</v>
      </c>
      <c r="K27" s="14">
        <f t="shared" si="0"/>
        <v>7.4136821920174872E-2</v>
      </c>
      <c r="L27" s="45">
        <f>1-2/52-0.03</f>
        <v>0.93153846153846154</v>
      </c>
      <c r="M27" s="5">
        <v>1</v>
      </c>
      <c r="N27" s="5">
        <f t="shared" si="11"/>
        <v>0.93153846153846154</v>
      </c>
      <c r="O27" s="16">
        <f t="shared" si="1"/>
        <v>118406.20930410134</v>
      </c>
      <c r="P27" s="19">
        <f t="shared" si="2"/>
        <v>116206.17632455879</v>
      </c>
      <c r="Q27" s="6">
        <f t="shared" si="12"/>
        <v>127108.23459564967</v>
      </c>
      <c r="R27" s="34">
        <f t="shared" si="3"/>
        <v>5.4422778605608624</v>
      </c>
      <c r="S27" s="11">
        <v>4.4660000000000002</v>
      </c>
      <c r="T27" s="11">
        <f>NatgasPriceSmall</f>
        <v>63.976590604026846</v>
      </c>
      <c r="U27" s="46">
        <f>50/(100-50/C27/1.05)</f>
        <v>0.75773195876288657</v>
      </c>
      <c r="V27" s="6">
        <f t="shared" si="13"/>
        <v>84.431691001232707</v>
      </c>
      <c r="W27" s="26">
        <f>S27*J27+V27*HLOOKUP($B$8,Prices!$A$28:$V$29,2,FALSE)/Prices!$J$29</f>
        <v>81.204348322550231</v>
      </c>
      <c r="X27" s="29" t="s">
        <v>116</v>
      </c>
      <c r="Y27" s="29" t="s">
        <v>116</v>
      </c>
      <c r="Z27" s="29" t="s">
        <v>115</v>
      </c>
      <c r="AA27" s="29" t="s">
        <v>116</v>
      </c>
      <c r="AB27" t="s">
        <v>75</v>
      </c>
      <c r="AC27">
        <f t="shared" si="4"/>
        <v>590612.24489795917</v>
      </c>
      <c r="AD27">
        <f t="shared" si="4"/>
        <v>562487.85228377068</v>
      </c>
      <c r="AE27">
        <f t="shared" si="4"/>
        <v>24364.41606120906</v>
      </c>
      <c r="AF27">
        <f t="shared" si="4"/>
        <v>23204.205772580059</v>
      </c>
      <c r="AG27">
        <f t="shared" si="4"/>
        <v>22099.243592933388</v>
      </c>
      <c r="AH27">
        <f t="shared" si="4"/>
        <v>21046.898659936563</v>
      </c>
      <c r="AI27">
        <f t="shared" si="4"/>
        <v>20044.665390415768</v>
      </c>
      <c r="AJ27">
        <f t="shared" si="4"/>
        <v>19090.157514681687</v>
      </c>
      <c r="AK27">
        <f t="shared" si="4"/>
        <v>18181.10239493494</v>
      </c>
      <c r="AL27">
        <f t="shared" si="4"/>
        <v>17315.335614223754</v>
      </c>
      <c r="AM27">
        <f t="shared" si="5"/>
        <v>16490.795823070239</v>
      </c>
      <c r="AN27">
        <f t="shared" si="5"/>
        <v>15705.519831495469</v>
      </c>
      <c r="AO27">
        <f t="shared" si="5"/>
        <v>14957.637934757586</v>
      </c>
      <c r="AP27">
        <f t="shared" si="5"/>
        <v>14245.369461673894</v>
      </c>
      <c r="AQ27">
        <f t="shared" si="5"/>
        <v>13567.018534927514</v>
      </c>
      <c r="AR27">
        <f t="shared" si="5"/>
        <v>12920.970033264301</v>
      </c>
      <c r="AS27">
        <f t="shared" si="5"/>
        <v>12305.685745965999</v>
      </c>
      <c r="AT27">
        <f t="shared" si="5"/>
        <v>11719.700710443809</v>
      </c>
      <c r="AU27">
        <f t="shared" si="5"/>
        <v>11161.6197242322</v>
      </c>
      <c r="AV27">
        <f t="shared" si="5"/>
        <v>10630.114023078286</v>
      </c>
      <c r="AW27">
        <f t="shared" si="6"/>
        <v>10123.918117217414</v>
      </c>
      <c r="AX27">
        <f t="shared" si="6"/>
        <v>9641.8267783023002</v>
      </c>
      <c r="AY27">
        <f t="shared" si="6"/>
        <v>9182.692169811713</v>
      </c>
      <c r="AZ27">
        <f t="shared" si="6"/>
        <v>8745.4211141063934</v>
      </c>
      <c r="BA27">
        <f t="shared" si="6"/>
        <v>8328.9724896251373</v>
      </c>
      <c r="BB27">
        <f t="shared" si="6"/>
        <v>7932.3547520239399</v>
      </c>
      <c r="BC27">
        <f t="shared" si="6"/>
        <v>7554.6235733561325</v>
      </c>
      <c r="BD27">
        <f t="shared" si="6"/>
        <v>0</v>
      </c>
      <c r="BE27">
        <f t="shared" si="6"/>
        <v>0</v>
      </c>
      <c r="BF27">
        <f t="shared" si="6"/>
        <v>0</v>
      </c>
      <c r="BG27">
        <f t="shared" si="7"/>
        <v>0</v>
      </c>
      <c r="BH27">
        <f t="shared" si="7"/>
        <v>0</v>
      </c>
      <c r="BI27">
        <f t="shared" si="7"/>
        <v>0</v>
      </c>
      <c r="BJ27">
        <f t="shared" si="7"/>
        <v>0</v>
      </c>
      <c r="BK27">
        <f t="shared" si="7"/>
        <v>0</v>
      </c>
      <c r="BL27">
        <f t="shared" si="7"/>
        <v>0</v>
      </c>
      <c r="BM27">
        <f t="shared" si="7"/>
        <v>0</v>
      </c>
      <c r="BN27">
        <f t="shared" si="7"/>
        <v>0</v>
      </c>
      <c r="BO27">
        <f t="shared" si="7"/>
        <v>0</v>
      </c>
      <c r="BP27">
        <f t="shared" si="7"/>
        <v>0</v>
      </c>
      <c r="BQ27">
        <f t="shared" si="8"/>
        <v>0</v>
      </c>
      <c r="BR27">
        <f t="shared" si="8"/>
        <v>0</v>
      </c>
      <c r="BS27">
        <f t="shared" si="8"/>
        <v>0</v>
      </c>
      <c r="BT27">
        <f t="shared" si="8"/>
        <v>0</v>
      </c>
      <c r="BU27">
        <f t="shared" si="8"/>
        <v>0</v>
      </c>
      <c r="BV27">
        <f t="shared" si="8"/>
        <v>0</v>
      </c>
      <c r="BW27">
        <f t="shared" si="8"/>
        <v>0</v>
      </c>
      <c r="BX27">
        <f t="shared" si="8"/>
        <v>0</v>
      </c>
      <c r="BY27">
        <f t="shared" si="8"/>
        <v>0</v>
      </c>
      <c r="BZ27">
        <f t="shared" si="8"/>
        <v>0</v>
      </c>
      <c r="CA27">
        <f t="shared" si="9"/>
        <v>0</v>
      </c>
      <c r="CB27">
        <f t="shared" si="9"/>
        <v>0</v>
      </c>
      <c r="CC27">
        <f t="shared" si="9"/>
        <v>0</v>
      </c>
      <c r="CD27">
        <f t="shared" si="9"/>
        <v>0</v>
      </c>
      <c r="CE27">
        <f t="shared" si="9"/>
        <v>0</v>
      </c>
      <c r="CF27">
        <f t="shared" si="9"/>
        <v>0</v>
      </c>
      <c r="CG27">
        <f t="shared" si="9"/>
        <v>0</v>
      </c>
      <c r="CH27">
        <f t="shared" si="9"/>
        <v>0</v>
      </c>
      <c r="CI27">
        <f t="shared" si="9"/>
        <v>0</v>
      </c>
      <c r="CJ27">
        <f t="shared" si="9"/>
        <v>0</v>
      </c>
      <c r="CK27">
        <f t="shared" si="9"/>
        <v>0</v>
      </c>
      <c r="CL27">
        <f t="shared" si="9"/>
        <v>0</v>
      </c>
      <c r="CM27">
        <f t="shared" si="9"/>
        <v>0</v>
      </c>
      <c r="CN27">
        <f t="shared" si="9"/>
        <v>0</v>
      </c>
      <c r="CO27">
        <f t="shared" si="9"/>
        <v>0</v>
      </c>
      <c r="CP27">
        <f t="shared" si="9"/>
        <v>0</v>
      </c>
      <c r="CQ27">
        <f t="shared" si="9"/>
        <v>0</v>
      </c>
      <c r="CR27">
        <f t="shared" si="9"/>
        <v>0</v>
      </c>
      <c r="CS27">
        <f t="shared" si="9"/>
        <v>0</v>
      </c>
      <c r="CT27">
        <f t="shared" si="9"/>
        <v>0</v>
      </c>
    </row>
    <row r="28" spans="1:98" x14ac:dyDescent="0.25">
      <c r="A28" t="s">
        <v>71</v>
      </c>
      <c r="B28" t="s">
        <v>214</v>
      </c>
      <c r="C28" s="9">
        <v>0.99</v>
      </c>
      <c r="D28" s="13">
        <f>0.957-Heat_capacity_unit_investment_cost/C28</f>
        <v>0.90649494949494946</v>
      </c>
      <c r="E28" s="25">
        <f>9889-Heat_capacity_fixed_operating_costs/C28</f>
        <v>7969.8080808080813</v>
      </c>
      <c r="F28" s="12">
        <v>25</v>
      </c>
      <c r="G28" s="12">
        <v>1</v>
      </c>
      <c r="H28" s="12">
        <f t="shared" si="10"/>
        <v>1</v>
      </c>
      <c r="I28" s="23">
        <v>2020</v>
      </c>
      <c r="J28" s="20">
        <f>HLOOKUP($B$8,Prices!$A$28:$V$29,2,FALSE)/HLOOKUP(I28,Prices!$A$28:$V$29,2,FALSE)</f>
        <v>1</v>
      </c>
      <c r="K28" s="14">
        <f t="shared" si="0"/>
        <v>7.2470900752687001E-2</v>
      </c>
      <c r="L28" s="24">
        <f>1-0.8/52-0.03</f>
        <v>0.95461538461538464</v>
      </c>
      <c r="M28" s="5">
        <v>1</v>
      </c>
      <c r="N28" s="5">
        <f t="shared" si="11"/>
        <v>0.95461538461538464</v>
      </c>
      <c r="O28" s="16">
        <f t="shared" si="1"/>
        <v>72287.8522768158</v>
      </c>
      <c r="P28" s="19">
        <f t="shared" si="2"/>
        <v>72287.8522768158</v>
      </c>
      <c r="Q28" s="6">
        <f t="shared" si="12"/>
        <v>75724.583368139036</v>
      </c>
      <c r="R28" s="34">
        <f t="shared" si="3"/>
        <v>3.2422307246703208</v>
      </c>
      <c r="S28" s="13">
        <v>5.42</v>
      </c>
      <c r="T28" s="11">
        <f>NatgasPriceSmall</f>
        <v>63.976590604026846</v>
      </c>
      <c r="U28" s="22">
        <f>47/(100-47/C28/1.05)</f>
        <v>0.85788410886742761</v>
      </c>
      <c r="V28" s="6">
        <f t="shared" si="13"/>
        <v>74.574863833867113</v>
      </c>
      <c r="W28" s="26">
        <f>S28*J28+V28*HLOOKUP($B$8,Prices!$A$28:$V$29,2,FALSE)/Prices!$J$29</f>
        <v>73.199666723795659</v>
      </c>
      <c r="X28" s="29" t="s">
        <v>116</v>
      </c>
      <c r="Y28" s="29" t="s">
        <v>116</v>
      </c>
      <c r="Z28" s="29" t="s">
        <v>115</v>
      </c>
      <c r="AA28" s="29" t="s">
        <v>116</v>
      </c>
      <c r="AB28" t="s">
        <v>75</v>
      </c>
      <c r="AC28">
        <f t="shared" ref="AC28:AL37" si="15">IF(AC$17&lt;=$H28,1000000*$D28/$H28,IF(AC$17&lt;=($H28+$F28),$E28,0))/(1+WACC)^AC$17</f>
        <v>863328.52332852327</v>
      </c>
      <c r="AD28">
        <f t="shared" si="15"/>
        <v>7228.8508669461053</v>
      </c>
      <c r="AE28">
        <f t="shared" si="15"/>
        <v>6884.6198732820048</v>
      </c>
      <c r="AF28">
        <f t="shared" si="15"/>
        <v>6556.7808316971477</v>
      </c>
      <c r="AG28">
        <f t="shared" si="15"/>
        <v>6244.553173044902</v>
      </c>
      <c r="AH28">
        <f t="shared" si="15"/>
        <v>5947.1934981380027</v>
      </c>
      <c r="AI28">
        <f t="shared" si="15"/>
        <v>5663.9938077504776</v>
      </c>
      <c r="AJ28">
        <f t="shared" si="15"/>
        <v>5394.2798169052176</v>
      </c>
      <c r="AK28">
        <f t="shared" si="15"/>
        <v>5137.4093494335402</v>
      </c>
      <c r="AL28">
        <f t="shared" si="15"/>
        <v>4892.7708089843236</v>
      </c>
      <c r="AM28">
        <f t="shared" ref="AM28:AV37" si="16">IF(AM$17&lt;=$H28,1000000*$D28/$H28,IF(AM$17&lt;=($H28+$F28),$E28,0))/(1+WACC)^AM$17</f>
        <v>4659.7817228422127</v>
      </c>
      <c r="AN28">
        <f t="shared" si="16"/>
        <v>4437.8873550878225</v>
      </c>
      <c r="AO28">
        <f t="shared" si="16"/>
        <v>4226.5593857979256</v>
      </c>
      <c r="AP28">
        <f t="shared" si="16"/>
        <v>4025.2946531408825</v>
      </c>
      <c r="AQ28">
        <f t="shared" si="16"/>
        <v>3833.6139553722678</v>
      </c>
      <c r="AR28">
        <f t="shared" si="16"/>
        <v>3651.0609098783507</v>
      </c>
      <c r="AS28">
        <f t="shared" si="16"/>
        <v>3477.2008665508097</v>
      </c>
      <c r="AT28">
        <f t="shared" si="16"/>
        <v>3311.6198729055332</v>
      </c>
      <c r="AU28">
        <f t="shared" si="16"/>
        <v>3153.92368848146</v>
      </c>
      <c r="AV28">
        <f t="shared" si="16"/>
        <v>3003.7368461728192</v>
      </c>
      <c r="AW28">
        <f t="shared" ref="AW28:BF37" si="17">IF(AW$17&lt;=$H28,1000000*$D28/$H28,IF(AW$17&lt;=($H28+$F28),$E28,0))/(1+WACC)^AW$17</f>
        <v>2860.7017582598278</v>
      </c>
      <c r="AX28">
        <f t="shared" si="17"/>
        <v>2724.4778650093599</v>
      </c>
      <c r="AY28">
        <f t="shared" si="17"/>
        <v>2594.7408238184375</v>
      </c>
      <c r="AZ28">
        <f t="shared" si="17"/>
        <v>2471.1817369699406</v>
      </c>
      <c r="BA28">
        <f t="shared" si="17"/>
        <v>2353.5064161618484</v>
      </c>
      <c r="BB28">
        <f t="shared" si="17"/>
        <v>2241.434682058903</v>
      </c>
      <c r="BC28">
        <f t="shared" si="17"/>
        <v>0</v>
      </c>
      <c r="BD28">
        <f t="shared" si="17"/>
        <v>0</v>
      </c>
      <c r="BE28">
        <f t="shared" si="17"/>
        <v>0</v>
      </c>
      <c r="BF28">
        <f t="shared" si="17"/>
        <v>0</v>
      </c>
      <c r="BG28">
        <f t="shared" ref="BG28:BP37" si="18">IF(BG$17&lt;=$H28,1000000*$D28/$H28,IF(BG$17&lt;=($H28+$F28),$E28,0))/(1+WACC)^BG$17</f>
        <v>0</v>
      </c>
      <c r="BH28">
        <f t="shared" si="18"/>
        <v>0</v>
      </c>
      <c r="BI28">
        <f t="shared" si="18"/>
        <v>0</v>
      </c>
      <c r="BJ28">
        <f t="shared" si="18"/>
        <v>0</v>
      </c>
      <c r="BK28">
        <f t="shared" si="18"/>
        <v>0</v>
      </c>
      <c r="BL28">
        <f t="shared" si="18"/>
        <v>0</v>
      </c>
      <c r="BM28">
        <f t="shared" si="18"/>
        <v>0</v>
      </c>
      <c r="BN28">
        <f t="shared" si="18"/>
        <v>0</v>
      </c>
      <c r="BO28">
        <f t="shared" si="18"/>
        <v>0</v>
      </c>
      <c r="BP28">
        <f t="shared" si="18"/>
        <v>0</v>
      </c>
      <c r="BQ28">
        <f t="shared" ref="BQ28:CF37" si="19">IF(BQ$17&lt;=$H28,1000000*$D28/$H28,IF(BQ$17&lt;=($H28+$F28),$E28,0))/(1+WACC)^BQ$17</f>
        <v>0</v>
      </c>
      <c r="BR28">
        <f t="shared" si="19"/>
        <v>0</v>
      </c>
      <c r="BS28">
        <f t="shared" si="19"/>
        <v>0</v>
      </c>
      <c r="BT28">
        <f t="shared" si="19"/>
        <v>0</v>
      </c>
      <c r="BU28">
        <f t="shared" si="19"/>
        <v>0</v>
      </c>
      <c r="BV28">
        <f t="shared" si="19"/>
        <v>0</v>
      </c>
      <c r="BW28">
        <f t="shared" si="19"/>
        <v>0</v>
      </c>
      <c r="BX28">
        <f t="shared" si="19"/>
        <v>0</v>
      </c>
      <c r="BY28">
        <f t="shared" si="19"/>
        <v>0</v>
      </c>
      <c r="BZ28">
        <f t="shared" si="19"/>
        <v>0</v>
      </c>
      <c r="CA28">
        <f t="shared" si="19"/>
        <v>0</v>
      </c>
      <c r="CB28">
        <f t="shared" si="19"/>
        <v>0</v>
      </c>
      <c r="CC28">
        <f t="shared" si="19"/>
        <v>0</v>
      </c>
      <c r="CD28">
        <f t="shared" si="19"/>
        <v>0</v>
      </c>
      <c r="CE28">
        <f t="shared" si="19"/>
        <v>0</v>
      </c>
      <c r="CF28">
        <f t="shared" si="19"/>
        <v>0</v>
      </c>
      <c r="CG28">
        <f t="shared" si="9"/>
        <v>0</v>
      </c>
      <c r="CH28">
        <f t="shared" si="9"/>
        <v>0</v>
      </c>
      <c r="CI28">
        <f t="shared" si="9"/>
        <v>0</v>
      </c>
      <c r="CJ28">
        <f t="shared" si="9"/>
        <v>0</v>
      </c>
      <c r="CK28">
        <f t="shared" si="9"/>
        <v>0</v>
      </c>
      <c r="CL28">
        <f t="shared" si="9"/>
        <v>0</v>
      </c>
      <c r="CM28">
        <f t="shared" si="9"/>
        <v>0</v>
      </c>
      <c r="CN28">
        <f t="shared" si="9"/>
        <v>0</v>
      </c>
      <c r="CO28">
        <f t="shared" si="9"/>
        <v>0</v>
      </c>
      <c r="CP28">
        <f t="shared" si="9"/>
        <v>0</v>
      </c>
      <c r="CQ28">
        <f t="shared" si="9"/>
        <v>0</v>
      </c>
      <c r="CR28">
        <f t="shared" si="9"/>
        <v>0</v>
      </c>
      <c r="CS28">
        <f t="shared" si="9"/>
        <v>0</v>
      </c>
      <c r="CT28">
        <f t="shared" si="9"/>
        <v>0</v>
      </c>
    </row>
    <row r="29" spans="1:98" hidden="1" x14ac:dyDescent="0.25">
      <c r="A29" s="35" t="s">
        <v>72</v>
      </c>
      <c r="B29" t="s">
        <v>215</v>
      </c>
      <c r="C29" s="9"/>
      <c r="D29" s="37">
        <v>0.9</v>
      </c>
      <c r="E29" s="38">
        <v>9300</v>
      </c>
      <c r="F29" s="12">
        <v>25</v>
      </c>
      <c r="G29" s="12">
        <v>1</v>
      </c>
      <c r="H29" s="12">
        <f t="shared" si="10"/>
        <v>1</v>
      </c>
      <c r="I29" s="39">
        <v>2015</v>
      </c>
      <c r="J29" s="20">
        <f>HLOOKUP($B$8,Prices!$A$28:$V$29,2,FALSE)/HLOOKUP(I29,Prices!$A$28:$V$29,2,FALSE)</f>
        <v>1.0676750402114485</v>
      </c>
      <c r="K29" s="14">
        <f t="shared" si="0"/>
        <v>7.2470900752687001E-2</v>
      </c>
      <c r="L29" s="43">
        <f>1-0.8/52-0.03</f>
        <v>0.95461538461538464</v>
      </c>
      <c r="M29" s="5">
        <v>1</v>
      </c>
      <c r="N29" s="5">
        <f t="shared" si="11"/>
        <v>0.95461538461538464</v>
      </c>
      <c r="O29" s="16">
        <f t="shared" si="1"/>
        <v>78108.128804016931</v>
      </c>
      <c r="P29" s="19">
        <f t="shared" si="2"/>
        <v>78108.128804016917</v>
      </c>
      <c r="Q29" s="6">
        <f t="shared" si="12"/>
        <v>81821.569254812261</v>
      </c>
      <c r="R29" s="34">
        <f t="shared" si="3"/>
        <v>3.503279833036502</v>
      </c>
      <c r="S29" s="37">
        <v>7</v>
      </c>
      <c r="T29" s="11">
        <f>BiogasPrice</f>
        <v>38.169664429530194</v>
      </c>
      <c r="U29" s="42">
        <f>40/(100-45/1.05)</f>
        <v>0.7</v>
      </c>
      <c r="V29" s="6">
        <f t="shared" si="13"/>
        <v>54.528092042185996</v>
      </c>
      <c r="W29" s="26">
        <f>S29*J29+V29*HLOOKUP($B$8,Prices!$A$28:$V$29,2,FALSE)/Prices!$J$29</f>
        <v>57.033264725458068</v>
      </c>
      <c r="X29" s="29" t="s">
        <v>116</v>
      </c>
      <c r="Y29" s="29" t="s">
        <v>116</v>
      </c>
      <c r="Z29" s="29" t="s">
        <v>115</v>
      </c>
      <c r="AA29" s="29" t="s">
        <v>116</v>
      </c>
      <c r="AB29" t="s">
        <v>75</v>
      </c>
      <c r="AC29">
        <f t="shared" si="15"/>
        <v>857142.85714285716</v>
      </c>
      <c r="AD29">
        <f t="shared" si="15"/>
        <v>8435.3741496598632</v>
      </c>
      <c r="AE29">
        <f t="shared" si="15"/>
        <v>8033.6896663427269</v>
      </c>
      <c r="AF29">
        <f t="shared" si="15"/>
        <v>7651.1330155645028</v>
      </c>
      <c r="AG29">
        <f t="shared" si="15"/>
        <v>7286.7933481566679</v>
      </c>
      <c r="AH29">
        <f t="shared" si="15"/>
        <v>6939.8031887206371</v>
      </c>
      <c r="AI29">
        <f t="shared" si="15"/>
        <v>6609.3363702101296</v>
      </c>
      <c r="AJ29">
        <f t="shared" si="15"/>
        <v>6294.6060668667906</v>
      </c>
      <c r="AK29">
        <f t="shared" si="15"/>
        <v>5994.8629208255143</v>
      </c>
      <c r="AL29">
        <f t="shared" si="15"/>
        <v>5709.3932579290613</v>
      </c>
      <c r="AM29">
        <f t="shared" si="16"/>
        <v>5437.5173885038676</v>
      </c>
      <c r="AN29">
        <f t="shared" si="16"/>
        <v>5178.5879890513033</v>
      </c>
      <c r="AO29">
        <f t="shared" si="16"/>
        <v>4931.9885610012407</v>
      </c>
      <c r="AP29">
        <f t="shared" si="16"/>
        <v>4697.1319628583251</v>
      </c>
      <c r="AQ29">
        <f t="shared" si="16"/>
        <v>4473.4590122460231</v>
      </c>
      <c r="AR29">
        <f t="shared" si="16"/>
        <v>4260.437154520022</v>
      </c>
      <c r="AS29">
        <f t="shared" si="16"/>
        <v>4057.559194780973</v>
      </c>
      <c r="AT29">
        <f t="shared" si="16"/>
        <v>3864.3420902675934</v>
      </c>
      <c r="AU29">
        <f t="shared" si="16"/>
        <v>3680.3258002548505</v>
      </c>
      <c r="AV29">
        <f t="shared" si="16"/>
        <v>3505.0721907189054</v>
      </c>
      <c r="AW29">
        <f t="shared" si="17"/>
        <v>3338.1639911608627</v>
      </c>
      <c r="AX29">
        <f t="shared" si="17"/>
        <v>3179.2038011055834</v>
      </c>
      <c r="AY29">
        <f t="shared" si="17"/>
        <v>3027.8131439100789</v>
      </c>
      <c r="AZ29">
        <f t="shared" si="17"/>
        <v>2883.631565628647</v>
      </c>
      <c r="BA29">
        <f t="shared" si="17"/>
        <v>2746.3157767891876</v>
      </c>
      <c r="BB29">
        <f t="shared" si="17"/>
        <v>2615.5388350373214</v>
      </c>
      <c r="BC29">
        <f t="shared" si="17"/>
        <v>0</v>
      </c>
      <c r="BD29">
        <f t="shared" si="17"/>
        <v>0</v>
      </c>
      <c r="BE29">
        <f t="shared" si="17"/>
        <v>0</v>
      </c>
      <c r="BF29">
        <f t="shared" si="17"/>
        <v>0</v>
      </c>
      <c r="BG29">
        <f t="shared" si="18"/>
        <v>0</v>
      </c>
      <c r="BH29">
        <f t="shared" si="18"/>
        <v>0</v>
      </c>
      <c r="BI29">
        <f t="shared" si="18"/>
        <v>0</v>
      </c>
      <c r="BJ29">
        <f t="shared" si="18"/>
        <v>0</v>
      </c>
      <c r="BK29">
        <f t="shared" si="18"/>
        <v>0</v>
      </c>
      <c r="BL29">
        <f t="shared" si="18"/>
        <v>0</v>
      </c>
      <c r="BM29">
        <f t="shared" si="18"/>
        <v>0</v>
      </c>
      <c r="BN29">
        <f t="shared" si="18"/>
        <v>0</v>
      </c>
      <c r="BO29">
        <f t="shared" si="18"/>
        <v>0</v>
      </c>
      <c r="BP29">
        <f t="shared" si="18"/>
        <v>0</v>
      </c>
      <c r="BQ29">
        <f t="shared" si="19"/>
        <v>0</v>
      </c>
      <c r="BR29">
        <f t="shared" si="19"/>
        <v>0</v>
      </c>
      <c r="BS29">
        <f t="shared" si="19"/>
        <v>0</v>
      </c>
      <c r="BT29">
        <f t="shared" si="19"/>
        <v>0</v>
      </c>
      <c r="BU29">
        <f t="shared" si="19"/>
        <v>0</v>
      </c>
      <c r="BV29">
        <f t="shared" si="19"/>
        <v>0</v>
      </c>
      <c r="BW29">
        <f t="shared" si="19"/>
        <v>0</v>
      </c>
      <c r="BX29">
        <f t="shared" si="19"/>
        <v>0</v>
      </c>
      <c r="BY29">
        <f t="shared" si="19"/>
        <v>0</v>
      </c>
      <c r="BZ29">
        <f t="shared" si="19"/>
        <v>0</v>
      </c>
      <c r="CA29">
        <f t="shared" si="9"/>
        <v>0</v>
      </c>
      <c r="CB29">
        <f t="shared" si="9"/>
        <v>0</v>
      </c>
      <c r="CC29">
        <f t="shared" si="9"/>
        <v>0</v>
      </c>
      <c r="CD29">
        <f t="shared" si="9"/>
        <v>0</v>
      </c>
      <c r="CE29">
        <f t="shared" si="9"/>
        <v>0</v>
      </c>
      <c r="CF29">
        <f t="shared" si="9"/>
        <v>0</v>
      </c>
      <c r="CG29">
        <f t="shared" si="9"/>
        <v>0</v>
      </c>
      <c r="CH29">
        <f t="shared" si="9"/>
        <v>0</v>
      </c>
      <c r="CI29">
        <f t="shared" si="9"/>
        <v>0</v>
      </c>
      <c r="CJ29">
        <f t="shared" si="9"/>
        <v>0</v>
      </c>
      <c r="CK29">
        <f t="shared" si="9"/>
        <v>0</v>
      </c>
      <c r="CL29">
        <f t="shared" si="9"/>
        <v>0</v>
      </c>
      <c r="CM29">
        <f t="shared" si="9"/>
        <v>0</v>
      </c>
      <c r="CN29">
        <f t="shared" si="9"/>
        <v>0</v>
      </c>
      <c r="CO29">
        <f t="shared" si="9"/>
        <v>0</v>
      </c>
      <c r="CP29">
        <f t="shared" si="9"/>
        <v>0</v>
      </c>
      <c r="CQ29">
        <f t="shared" si="9"/>
        <v>0</v>
      </c>
      <c r="CR29">
        <f t="shared" si="9"/>
        <v>0</v>
      </c>
      <c r="CS29">
        <f t="shared" si="9"/>
        <v>0</v>
      </c>
      <c r="CT29">
        <f t="shared" si="9"/>
        <v>0</v>
      </c>
    </row>
    <row r="30" spans="1:98" hidden="1" x14ac:dyDescent="0.25">
      <c r="A30" s="35" t="s">
        <v>36</v>
      </c>
      <c r="B30" t="s">
        <v>94</v>
      </c>
      <c r="C30" s="9"/>
      <c r="D30" s="37">
        <v>7.38</v>
      </c>
      <c r="E30" s="38">
        <v>174000</v>
      </c>
      <c r="F30" s="12">
        <v>25</v>
      </c>
      <c r="G30" s="12">
        <v>3</v>
      </c>
      <c r="H30" s="12">
        <f t="shared" si="10"/>
        <v>3</v>
      </c>
      <c r="I30" s="39">
        <v>2015</v>
      </c>
      <c r="J30" s="20">
        <f>HLOOKUP($B$8,Prices!$A$28:$V$29,2,FALSE)/HLOOKUP(I30,Prices!$A$28:$V$29,2,FALSE)</f>
        <v>1.0676750402114485</v>
      </c>
      <c r="K30" s="14">
        <f t="shared" si="0"/>
        <v>7.5970508556385485E-2</v>
      </c>
      <c r="L30" s="43">
        <f>1-2.15/52-0.01</f>
        <v>0.94865384615384618</v>
      </c>
      <c r="M30" s="5">
        <v>1</v>
      </c>
      <c r="N30" s="5">
        <f t="shared" si="11"/>
        <v>0.94865384615384618</v>
      </c>
      <c r="O30" s="16">
        <f t="shared" si="1"/>
        <v>773260.39063588181</v>
      </c>
      <c r="P30" s="19">
        <f t="shared" si="2"/>
        <v>744841.21462320571</v>
      </c>
      <c r="Q30" s="6">
        <f t="shared" si="12"/>
        <v>815113.32481382228</v>
      </c>
      <c r="R30" s="34">
        <f t="shared" si="3"/>
        <v>34.899967068178022</v>
      </c>
      <c r="S30" s="37">
        <v>24.43</v>
      </c>
      <c r="T30" s="11">
        <f>WastePrice</f>
        <v>5.4209626078619397</v>
      </c>
      <c r="U30" s="42">
        <f>25/(100-75/1.05)</f>
        <v>0.87500000000000011</v>
      </c>
      <c r="V30" s="6">
        <f t="shared" si="13"/>
        <v>6.1953858375565014</v>
      </c>
      <c r="W30" s="26">
        <f>S30*J30+V30*HLOOKUP($B$8,Prices!$A$28:$V$29,2,FALSE)/Prices!$J$29</f>
        <v>31.714168869353607</v>
      </c>
      <c r="X30" t="s">
        <v>116</v>
      </c>
      <c r="Y30" s="29" t="s">
        <v>116</v>
      </c>
      <c r="Z30" s="29" t="s">
        <v>115</v>
      </c>
      <c r="AA30" s="29" t="s">
        <v>115</v>
      </c>
      <c r="AB30" t="s">
        <v>75</v>
      </c>
      <c r="AC30">
        <f t="shared" si="15"/>
        <v>2342857.1428571427</v>
      </c>
      <c r="AD30">
        <f t="shared" si="15"/>
        <v>2231292.5170068028</v>
      </c>
      <c r="AE30">
        <f t="shared" si="15"/>
        <v>2125040.4923874307</v>
      </c>
      <c r="AF30">
        <f t="shared" si="15"/>
        <v>143150.23061378745</v>
      </c>
      <c r="AG30">
        <f t="shared" si="15"/>
        <v>136333.55296551186</v>
      </c>
      <c r="AH30">
        <f t="shared" si="15"/>
        <v>129841.47901477321</v>
      </c>
      <c r="AI30">
        <f t="shared" si="15"/>
        <v>123658.55144264114</v>
      </c>
      <c r="AJ30">
        <f t="shared" si="15"/>
        <v>117770.04899299156</v>
      </c>
      <c r="AK30">
        <f t="shared" si="15"/>
        <v>112161.95142189672</v>
      </c>
      <c r="AL30">
        <f t="shared" si="15"/>
        <v>106820.90611609213</v>
      </c>
      <c r="AM30">
        <f t="shared" si="16"/>
        <v>101734.19630104011</v>
      </c>
      <c r="AN30">
        <f t="shared" si="16"/>
        <v>96889.710762895353</v>
      </c>
      <c r="AO30">
        <f t="shared" si="16"/>
        <v>92275.915012281272</v>
      </c>
      <c r="AP30">
        <f t="shared" si="16"/>
        <v>87881.823821220285</v>
      </c>
      <c r="AQ30">
        <f t="shared" si="16"/>
        <v>83696.975067828811</v>
      </c>
      <c r="AR30">
        <f t="shared" si="16"/>
        <v>79711.40482650364</v>
      </c>
      <c r="AS30">
        <f t="shared" si="16"/>
        <v>75915.623644289168</v>
      </c>
      <c r="AT30">
        <f t="shared" si="16"/>
        <v>72300.59394694207</v>
      </c>
      <c r="AU30">
        <f t="shared" si="16"/>
        <v>68857.708520897213</v>
      </c>
      <c r="AV30">
        <f t="shared" si="16"/>
        <v>65578.770019902106</v>
      </c>
      <c r="AW30">
        <f t="shared" si="17"/>
        <v>62455.971447525815</v>
      </c>
      <c r="AX30">
        <f t="shared" si="17"/>
        <v>59481.87756907221</v>
      </c>
      <c r="AY30">
        <f t="shared" si="17"/>
        <v>56649.407208640187</v>
      </c>
      <c r="AZ30">
        <f t="shared" si="17"/>
        <v>53951.816389181135</v>
      </c>
      <c r="BA30">
        <f t="shared" si="17"/>
        <v>51382.682275410603</v>
      </c>
      <c r="BB30">
        <f t="shared" si="17"/>
        <v>48935.887881343435</v>
      </c>
      <c r="BC30">
        <f t="shared" si="17"/>
        <v>46605.607506041357</v>
      </c>
      <c r="BD30">
        <f t="shared" si="17"/>
        <v>44386.292862896538</v>
      </c>
      <c r="BE30">
        <f t="shared" si="17"/>
        <v>0</v>
      </c>
      <c r="BF30">
        <f t="shared" si="17"/>
        <v>0</v>
      </c>
      <c r="BG30">
        <f t="shared" si="18"/>
        <v>0</v>
      </c>
      <c r="BH30">
        <f t="shared" si="18"/>
        <v>0</v>
      </c>
      <c r="BI30">
        <f t="shared" si="18"/>
        <v>0</v>
      </c>
      <c r="BJ30">
        <f t="shared" si="18"/>
        <v>0</v>
      </c>
      <c r="BK30">
        <f t="shared" si="18"/>
        <v>0</v>
      </c>
      <c r="BL30">
        <f t="shared" si="18"/>
        <v>0</v>
      </c>
      <c r="BM30">
        <f t="shared" si="18"/>
        <v>0</v>
      </c>
      <c r="BN30">
        <f t="shared" si="18"/>
        <v>0</v>
      </c>
      <c r="BO30">
        <f t="shared" si="18"/>
        <v>0</v>
      </c>
      <c r="BP30">
        <f t="shared" si="18"/>
        <v>0</v>
      </c>
      <c r="BQ30">
        <f t="shared" si="19"/>
        <v>0</v>
      </c>
      <c r="BR30">
        <f t="shared" si="19"/>
        <v>0</v>
      </c>
      <c r="BS30">
        <f t="shared" si="19"/>
        <v>0</v>
      </c>
      <c r="BT30">
        <f t="shared" si="19"/>
        <v>0</v>
      </c>
      <c r="BU30">
        <f t="shared" si="19"/>
        <v>0</v>
      </c>
      <c r="BV30">
        <f t="shared" si="19"/>
        <v>0</v>
      </c>
      <c r="BW30">
        <f t="shared" si="19"/>
        <v>0</v>
      </c>
      <c r="BX30">
        <f t="shared" si="19"/>
        <v>0</v>
      </c>
      <c r="BY30">
        <f t="shared" si="19"/>
        <v>0</v>
      </c>
      <c r="BZ30">
        <f t="shared" si="19"/>
        <v>0</v>
      </c>
      <c r="CA30">
        <f t="shared" si="9"/>
        <v>0</v>
      </c>
      <c r="CB30">
        <f t="shared" si="9"/>
        <v>0</v>
      </c>
      <c r="CC30">
        <f t="shared" si="9"/>
        <v>0</v>
      </c>
      <c r="CD30">
        <f t="shared" si="9"/>
        <v>0</v>
      </c>
      <c r="CE30">
        <f t="shared" si="9"/>
        <v>0</v>
      </c>
      <c r="CF30">
        <f t="shared" si="9"/>
        <v>0</v>
      </c>
      <c r="CG30">
        <f t="shared" si="9"/>
        <v>0</v>
      </c>
      <c r="CH30">
        <f t="shared" si="9"/>
        <v>0</v>
      </c>
      <c r="CI30">
        <f t="shared" si="9"/>
        <v>0</v>
      </c>
      <c r="CJ30">
        <f t="shared" si="9"/>
        <v>0</v>
      </c>
      <c r="CK30">
        <f t="shared" si="9"/>
        <v>0</v>
      </c>
      <c r="CL30">
        <f t="shared" si="9"/>
        <v>0</v>
      </c>
      <c r="CM30">
        <f t="shared" si="9"/>
        <v>0</v>
      </c>
      <c r="CN30">
        <f t="shared" si="9"/>
        <v>0</v>
      </c>
      <c r="CO30">
        <f t="shared" si="9"/>
        <v>0</v>
      </c>
      <c r="CP30">
        <f t="shared" si="9"/>
        <v>0</v>
      </c>
      <c r="CQ30">
        <f t="shared" si="9"/>
        <v>0</v>
      </c>
      <c r="CR30">
        <f t="shared" si="9"/>
        <v>0</v>
      </c>
      <c r="CS30">
        <f t="shared" si="9"/>
        <v>0</v>
      </c>
      <c r="CT30">
        <f t="shared" si="9"/>
        <v>0</v>
      </c>
    </row>
    <row r="31" spans="1:98" x14ac:dyDescent="0.25">
      <c r="A31" t="s">
        <v>37</v>
      </c>
      <c r="B31" t="s">
        <v>94</v>
      </c>
      <c r="C31" s="27">
        <v>0.28999999999999998</v>
      </c>
      <c r="D31" s="13">
        <f>8.62-Heat_capacity_unit_investment_cost/C31</f>
        <v>8.4475862068965508</v>
      </c>
      <c r="E31" s="25">
        <f>203104-Heat_capacity_fixed_operating_costs/C31</f>
        <v>196552.27586206896</v>
      </c>
      <c r="F31" s="12">
        <v>25</v>
      </c>
      <c r="G31" s="12">
        <v>3</v>
      </c>
      <c r="H31" s="12">
        <f t="shared" si="10"/>
        <v>3</v>
      </c>
      <c r="I31" s="23">
        <v>2020</v>
      </c>
      <c r="J31" s="20">
        <f>HLOOKUP($B$8,Prices!$A$28:$V$29,2,FALSE)/HLOOKUP(I31,Prices!$A$28:$V$29,2,FALSE)</f>
        <v>1</v>
      </c>
      <c r="K31" s="14">
        <f t="shared" si="0"/>
        <v>7.5970508556385485E-2</v>
      </c>
      <c r="L31" s="24">
        <f>1-2.15/52-0.01</f>
        <v>0.94865384615384618</v>
      </c>
      <c r="M31" s="5">
        <v>1</v>
      </c>
      <c r="N31" s="5">
        <f t="shared" si="11"/>
        <v>0.94865384615384618</v>
      </c>
      <c r="O31" s="16">
        <f t="shared" si="1"/>
        <v>826397.60630279861</v>
      </c>
      <c r="P31" s="19">
        <f t="shared" si="2"/>
        <v>795929.27548845764</v>
      </c>
      <c r="Q31" s="6">
        <f t="shared" si="12"/>
        <v>871126.60708991543</v>
      </c>
      <c r="R31" s="34">
        <f t="shared" si="3"/>
        <v>37.298236912757872</v>
      </c>
      <c r="S31" s="13">
        <v>28.2</v>
      </c>
      <c r="T31" s="11">
        <f>WastePrice</f>
        <v>5.4209626078619397</v>
      </c>
      <c r="U31" s="22">
        <f>21/(100-21/C31/1.05)</f>
        <v>0.67666666666666686</v>
      </c>
      <c r="V31" s="6">
        <f t="shared" si="13"/>
        <v>8.0112747899437515</v>
      </c>
      <c r="W31" s="26">
        <f>S31*J31+V31*HLOOKUP($B$8,Prices!$A$28:$V$29,2,FALSE)/Prices!$J$29</f>
        <v>35.481294358174033</v>
      </c>
      <c r="X31" t="s">
        <v>116</v>
      </c>
      <c r="Y31" s="29" t="s">
        <v>116</v>
      </c>
      <c r="Z31" s="29" t="s">
        <v>115</v>
      </c>
      <c r="AA31" s="29" t="s">
        <v>115</v>
      </c>
      <c r="AB31" t="s">
        <v>75</v>
      </c>
      <c r="AC31">
        <f t="shared" si="15"/>
        <v>2681773.399014778</v>
      </c>
      <c r="AD31">
        <f t="shared" si="15"/>
        <v>2554069.9038235983</v>
      </c>
      <c r="AE31">
        <f t="shared" si="15"/>
        <v>2432447.5274510458</v>
      </c>
      <c r="AF31">
        <f t="shared" si="15"/>
        <v>161704.0437777008</v>
      </c>
      <c r="AG31">
        <f t="shared" si="15"/>
        <v>154003.8512168579</v>
      </c>
      <c r="AH31">
        <f t="shared" si="15"/>
        <v>146670.33449224563</v>
      </c>
      <c r="AI31">
        <f t="shared" si="15"/>
        <v>139686.03284975773</v>
      </c>
      <c r="AJ31">
        <f t="shared" si="15"/>
        <v>133034.31699976927</v>
      </c>
      <c r="AK31">
        <f t="shared" si="15"/>
        <v>126699.34952358979</v>
      </c>
      <c r="AL31">
        <f t="shared" si="15"/>
        <v>120666.0471653236</v>
      </c>
      <c r="AM31">
        <f t="shared" si="16"/>
        <v>114920.0449193558</v>
      </c>
      <c r="AN31">
        <f t="shared" si="16"/>
        <v>109447.66182795793</v>
      </c>
      <c r="AO31">
        <f t="shared" si="16"/>
        <v>104235.86840757896</v>
      </c>
      <c r="AP31">
        <f t="shared" si="16"/>
        <v>99272.255626265702</v>
      </c>
      <c r="AQ31">
        <f t="shared" si="16"/>
        <v>94545.005358348251</v>
      </c>
      <c r="AR31">
        <f t="shared" si="16"/>
        <v>90042.862246045959</v>
      </c>
      <c r="AS31">
        <f t="shared" si="16"/>
        <v>85755.10690099615</v>
      </c>
      <c r="AT31">
        <f t="shared" si="16"/>
        <v>81671.530381901088</v>
      </c>
      <c r="AU31">
        <f t="shared" si="16"/>
        <v>77782.409887524846</v>
      </c>
      <c r="AV31">
        <f t="shared" si="16"/>
        <v>74078.485607166527</v>
      </c>
      <c r="AW31">
        <f t="shared" si="17"/>
        <v>70550.938673491939</v>
      </c>
      <c r="AX31">
        <f t="shared" si="17"/>
        <v>67191.370165230415</v>
      </c>
      <c r="AY31">
        <f t="shared" si="17"/>
        <v>63991.781109743242</v>
      </c>
      <c r="AZ31">
        <f t="shared" si="17"/>
        <v>60944.553437850715</v>
      </c>
      <c r="BA31">
        <f t="shared" si="17"/>
        <v>58042.431845572108</v>
      </c>
      <c r="BB31">
        <f t="shared" si="17"/>
        <v>55278.506519592484</v>
      </c>
      <c r="BC31">
        <f t="shared" si="17"/>
        <v>52646.196685326169</v>
      </c>
      <c r="BD31">
        <f t="shared" si="17"/>
        <v>50139.234938405883</v>
      </c>
      <c r="BE31">
        <f t="shared" si="17"/>
        <v>0</v>
      </c>
      <c r="BF31">
        <f t="shared" si="17"/>
        <v>0</v>
      </c>
      <c r="BG31">
        <f t="shared" si="18"/>
        <v>0</v>
      </c>
      <c r="BH31">
        <f t="shared" si="18"/>
        <v>0</v>
      </c>
      <c r="BI31">
        <f t="shared" si="18"/>
        <v>0</v>
      </c>
      <c r="BJ31">
        <f t="shared" si="18"/>
        <v>0</v>
      </c>
      <c r="BK31">
        <f t="shared" si="18"/>
        <v>0</v>
      </c>
      <c r="BL31">
        <f t="shared" si="18"/>
        <v>0</v>
      </c>
      <c r="BM31">
        <f t="shared" si="18"/>
        <v>0</v>
      </c>
      <c r="BN31">
        <f t="shared" si="18"/>
        <v>0</v>
      </c>
      <c r="BO31">
        <f t="shared" si="18"/>
        <v>0</v>
      </c>
      <c r="BP31">
        <f t="shared" si="18"/>
        <v>0</v>
      </c>
      <c r="BQ31">
        <f t="shared" si="19"/>
        <v>0</v>
      </c>
      <c r="BR31">
        <f t="shared" si="19"/>
        <v>0</v>
      </c>
      <c r="BS31">
        <f t="shared" si="19"/>
        <v>0</v>
      </c>
      <c r="BT31">
        <f t="shared" si="19"/>
        <v>0</v>
      </c>
      <c r="BU31">
        <f t="shared" si="19"/>
        <v>0</v>
      </c>
      <c r="BV31">
        <f t="shared" si="19"/>
        <v>0</v>
      </c>
      <c r="BW31">
        <f t="shared" si="19"/>
        <v>0</v>
      </c>
      <c r="BX31">
        <f t="shared" si="19"/>
        <v>0</v>
      </c>
      <c r="BY31">
        <f t="shared" si="19"/>
        <v>0</v>
      </c>
      <c r="BZ31">
        <f t="shared" si="19"/>
        <v>0</v>
      </c>
      <c r="CA31">
        <f t="shared" si="9"/>
        <v>0</v>
      </c>
      <c r="CB31">
        <f t="shared" si="9"/>
        <v>0</v>
      </c>
      <c r="CC31">
        <f t="shared" si="9"/>
        <v>0</v>
      </c>
      <c r="CD31">
        <f t="shared" si="9"/>
        <v>0</v>
      </c>
      <c r="CE31">
        <f t="shared" si="9"/>
        <v>0</v>
      </c>
      <c r="CF31">
        <f t="shared" si="9"/>
        <v>0</v>
      </c>
      <c r="CG31">
        <f t="shared" si="9"/>
        <v>0</v>
      </c>
      <c r="CH31">
        <f t="shared" ref="CA31:CT44" si="20">IF(CH$17&lt;=$H31,1000000*$D31/$H31,IF(CH$17&lt;=($H31+$F31),$E31,0))/(1+WACC)^CH$17</f>
        <v>0</v>
      </c>
      <c r="CI31">
        <f t="shared" si="20"/>
        <v>0</v>
      </c>
      <c r="CJ31">
        <f t="shared" si="20"/>
        <v>0</v>
      </c>
      <c r="CK31">
        <f t="shared" si="20"/>
        <v>0</v>
      </c>
      <c r="CL31">
        <f t="shared" si="20"/>
        <v>0</v>
      </c>
      <c r="CM31">
        <f t="shared" si="20"/>
        <v>0</v>
      </c>
      <c r="CN31">
        <f t="shared" si="20"/>
        <v>0</v>
      </c>
      <c r="CO31">
        <f t="shared" si="20"/>
        <v>0</v>
      </c>
      <c r="CP31">
        <f t="shared" si="20"/>
        <v>0</v>
      </c>
      <c r="CQ31">
        <f t="shared" si="20"/>
        <v>0</v>
      </c>
      <c r="CR31">
        <f t="shared" si="20"/>
        <v>0</v>
      </c>
      <c r="CS31">
        <f t="shared" si="20"/>
        <v>0</v>
      </c>
      <c r="CT31">
        <f t="shared" si="20"/>
        <v>0</v>
      </c>
    </row>
    <row r="32" spans="1:98" x14ac:dyDescent="0.25">
      <c r="A32" t="s">
        <v>38</v>
      </c>
      <c r="B32" t="s">
        <v>95</v>
      </c>
      <c r="C32" s="27">
        <v>0.3</v>
      </c>
      <c r="D32" s="13">
        <f>9.1-Heat_capacity_unit_investment_cost/C32</f>
        <v>8.9333333333333336</v>
      </c>
      <c r="E32" s="25">
        <f>260526-Heat_capacity_fixed_operating_costs/C32</f>
        <v>254192.66666666666</v>
      </c>
      <c r="F32" s="12">
        <v>25</v>
      </c>
      <c r="G32" s="12">
        <v>2.5</v>
      </c>
      <c r="H32" s="12">
        <f t="shared" si="10"/>
        <v>3</v>
      </c>
      <c r="I32" s="23">
        <v>2020</v>
      </c>
      <c r="J32" s="20">
        <f>HLOOKUP($B$8,Prices!$A$28:$V$29,2,FALSE)/HLOOKUP(I32,Prices!$A$28:$V$29,2,FALSE)</f>
        <v>1</v>
      </c>
      <c r="K32" s="14">
        <f t="shared" si="0"/>
        <v>7.5031285885037005E-2</v>
      </c>
      <c r="L32" s="24">
        <f>1-2.58/52-0.01</f>
        <v>0.94038461538461537</v>
      </c>
      <c r="M32" s="5">
        <v>1</v>
      </c>
      <c r="N32" s="5">
        <f t="shared" si="11"/>
        <v>0.94038461538461537</v>
      </c>
      <c r="O32" s="16">
        <f t="shared" si="1"/>
        <v>898076.84137323254</v>
      </c>
      <c r="P32" s="19">
        <f t="shared" si="2"/>
        <v>888034.61853978469</v>
      </c>
      <c r="Q32" s="6">
        <f t="shared" si="12"/>
        <v>955010.13806560519</v>
      </c>
      <c r="R32" s="34">
        <f t="shared" si="3"/>
        <v>40.889801888441141</v>
      </c>
      <c r="S32" s="13">
        <v>26.3</v>
      </c>
      <c r="T32" s="11">
        <f>WastePrice</f>
        <v>5.4209626078619397</v>
      </c>
      <c r="U32" s="22">
        <f>23/(100-23/C32/1.05)</f>
        <v>0.85235294117647042</v>
      </c>
      <c r="V32" s="6">
        <f t="shared" si="13"/>
        <v>6.3599975385543814</v>
      </c>
      <c r="W32" s="26">
        <f>S32*J32+V32*HLOOKUP($B$8,Prices!$A$28:$V$29,2,FALSE)/Prices!$J$29</f>
        <v>32.080480062125282</v>
      </c>
      <c r="X32" t="s">
        <v>116</v>
      </c>
      <c r="Y32" s="29" t="s">
        <v>116</v>
      </c>
      <c r="Z32" s="29" t="s">
        <v>115</v>
      </c>
      <c r="AA32" s="29" t="s">
        <v>115</v>
      </c>
      <c r="AB32" t="s">
        <v>75</v>
      </c>
      <c r="AC32">
        <f t="shared" si="15"/>
        <v>2835978.8359788363</v>
      </c>
      <c r="AD32">
        <f t="shared" si="15"/>
        <v>2700932.2247417485</v>
      </c>
      <c r="AE32">
        <f t="shared" si="15"/>
        <v>2572316.4045159509</v>
      </c>
      <c r="AF32">
        <f t="shared" si="15"/>
        <v>209124.93594061458</v>
      </c>
      <c r="AG32">
        <f t="shared" si="15"/>
        <v>199166.60565772816</v>
      </c>
      <c r="AH32">
        <f t="shared" si="15"/>
        <v>189682.48157878875</v>
      </c>
      <c r="AI32">
        <f t="shared" si="15"/>
        <v>180649.98245598926</v>
      </c>
      <c r="AJ32">
        <f t="shared" si="15"/>
        <v>172047.6023390374</v>
      </c>
      <c r="AK32">
        <f t="shared" si="15"/>
        <v>163854.85937051181</v>
      </c>
      <c r="AL32">
        <f t="shared" si="15"/>
        <v>156052.24701953505</v>
      </c>
      <c r="AM32">
        <f t="shared" si="16"/>
        <v>148621.18763765242</v>
      </c>
      <c r="AN32">
        <f t="shared" si="16"/>
        <v>141543.98822633564</v>
      </c>
      <c r="AO32">
        <f t="shared" si="16"/>
        <v>134803.79831079583</v>
      </c>
      <c r="AP32">
        <f t="shared" si="16"/>
        <v>128384.56981980559</v>
      </c>
      <c r="AQ32">
        <f t="shared" si="16"/>
        <v>122271.01887600528</v>
      </c>
      <c r="AR32">
        <f t="shared" si="16"/>
        <v>116448.58940571932</v>
      </c>
      <c r="AS32">
        <f t="shared" si="16"/>
        <v>110903.41848163745</v>
      </c>
      <c r="AT32">
        <f t="shared" si="16"/>
        <v>105622.30331584519</v>
      </c>
      <c r="AU32">
        <f t="shared" si="16"/>
        <v>100592.66982461447</v>
      </c>
      <c r="AV32">
        <f t="shared" si="16"/>
        <v>95802.54269010901</v>
      </c>
      <c r="AW32">
        <f t="shared" si="17"/>
        <v>91240.516847722873</v>
      </c>
      <c r="AX32">
        <f t="shared" si="17"/>
        <v>86895.730331164639</v>
      </c>
      <c r="AY32">
        <f t="shared" si="17"/>
        <v>82757.838410632976</v>
      </c>
      <c r="AZ32">
        <f t="shared" si="17"/>
        <v>78816.988962507603</v>
      </c>
      <c r="BA32">
        <f t="shared" si="17"/>
        <v>75063.799011912008</v>
      </c>
      <c r="BB32">
        <f t="shared" si="17"/>
        <v>71489.332392297147</v>
      </c>
      <c r="BC32">
        <f t="shared" si="17"/>
        <v>68085.078468854423</v>
      </c>
      <c r="BD32">
        <f t="shared" si="17"/>
        <v>64842.931875099457</v>
      </c>
      <c r="BE32">
        <f t="shared" si="17"/>
        <v>0</v>
      </c>
      <c r="BF32">
        <f t="shared" si="17"/>
        <v>0</v>
      </c>
      <c r="BG32">
        <f t="shared" si="18"/>
        <v>0</v>
      </c>
      <c r="BH32">
        <f t="shared" si="18"/>
        <v>0</v>
      </c>
      <c r="BI32">
        <f t="shared" si="18"/>
        <v>0</v>
      </c>
      <c r="BJ32">
        <f t="shared" si="18"/>
        <v>0</v>
      </c>
      <c r="BK32">
        <f t="shared" si="18"/>
        <v>0</v>
      </c>
      <c r="BL32">
        <f t="shared" si="18"/>
        <v>0</v>
      </c>
      <c r="BM32">
        <f t="shared" si="18"/>
        <v>0</v>
      </c>
      <c r="BN32">
        <f t="shared" si="18"/>
        <v>0</v>
      </c>
      <c r="BO32">
        <f t="shared" si="18"/>
        <v>0</v>
      </c>
      <c r="BP32">
        <f t="shared" si="18"/>
        <v>0</v>
      </c>
      <c r="BQ32">
        <f t="shared" si="19"/>
        <v>0</v>
      </c>
      <c r="BR32">
        <f t="shared" si="19"/>
        <v>0</v>
      </c>
      <c r="BS32">
        <f t="shared" si="19"/>
        <v>0</v>
      </c>
      <c r="BT32">
        <f t="shared" si="19"/>
        <v>0</v>
      </c>
      <c r="BU32">
        <f t="shared" si="19"/>
        <v>0</v>
      </c>
      <c r="BV32">
        <f t="shared" si="19"/>
        <v>0</v>
      </c>
      <c r="BW32">
        <f t="shared" si="19"/>
        <v>0</v>
      </c>
      <c r="BX32">
        <f t="shared" si="19"/>
        <v>0</v>
      </c>
      <c r="BY32">
        <f t="shared" si="19"/>
        <v>0</v>
      </c>
      <c r="BZ32">
        <f t="shared" si="19"/>
        <v>0</v>
      </c>
      <c r="CA32">
        <f t="shared" si="20"/>
        <v>0</v>
      </c>
      <c r="CB32">
        <f t="shared" si="20"/>
        <v>0</v>
      </c>
      <c r="CC32">
        <f t="shared" si="20"/>
        <v>0</v>
      </c>
      <c r="CD32">
        <f t="shared" si="20"/>
        <v>0</v>
      </c>
      <c r="CE32">
        <f t="shared" si="20"/>
        <v>0</v>
      </c>
      <c r="CF32">
        <f t="shared" si="20"/>
        <v>0</v>
      </c>
      <c r="CG32">
        <f t="shared" si="20"/>
        <v>0</v>
      </c>
      <c r="CH32">
        <f t="shared" si="20"/>
        <v>0</v>
      </c>
      <c r="CI32">
        <f t="shared" si="20"/>
        <v>0</v>
      </c>
      <c r="CJ32">
        <f t="shared" si="20"/>
        <v>0</v>
      </c>
      <c r="CK32">
        <f t="shared" si="20"/>
        <v>0</v>
      </c>
      <c r="CL32">
        <f t="shared" si="20"/>
        <v>0</v>
      </c>
      <c r="CM32">
        <f t="shared" si="20"/>
        <v>0</v>
      </c>
      <c r="CN32">
        <f t="shared" si="20"/>
        <v>0</v>
      </c>
      <c r="CO32">
        <f t="shared" si="20"/>
        <v>0</v>
      </c>
      <c r="CP32">
        <f t="shared" si="20"/>
        <v>0</v>
      </c>
      <c r="CQ32">
        <f t="shared" si="20"/>
        <v>0</v>
      </c>
      <c r="CR32">
        <f t="shared" si="20"/>
        <v>0</v>
      </c>
      <c r="CS32">
        <f t="shared" si="20"/>
        <v>0</v>
      </c>
      <c r="CT32">
        <f t="shared" si="20"/>
        <v>0</v>
      </c>
    </row>
    <row r="33" spans="1:98" x14ac:dyDescent="0.25">
      <c r="A33" t="s">
        <v>39</v>
      </c>
      <c r="B33" t="s">
        <v>96</v>
      </c>
      <c r="C33" s="27">
        <v>0.28999999999999998</v>
      </c>
      <c r="D33" s="13">
        <f>10.6-Heat_capacity_unit_investment_cost/C33</f>
        <v>10.427586206896551</v>
      </c>
      <c r="E33" s="25">
        <f>406208-Heat_capacity_fixed_operating_costs/C33</f>
        <v>399656.27586206899</v>
      </c>
      <c r="F33" s="12">
        <v>25</v>
      </c>
      <c r="G33" s="12">
        <v>2.5</v>
      </c>
      <c r="H33" s="12">
        <f t="shared" si="10"/>
        <v>3</v>
      </c>
      <c r="I33" s="23">
        <v>2020</v>
      </c>
      <c r="J33" s="20">
        <f>HLOOKUP($B$8,Prices!$A$28:$V$29,2,FALSE)/HLOOKUP(I33,Prices!$A$28:$V$29,2,FALSE)</f>
        <v>1</v>
      </c>
      <c r="K33" s="14">
        <f t="shared" si="0"/>
        <v>7.5031285885037005E-2</v>
      </c>
      <c r="L33" s="24">
        <f>1-3.01/52-0.01</f>
        <v>0.93211538461538457</v>
      </c>
      <c r="M33" s="5">
        <v>1</v>
      </c>
      <c r="N33" s="5">
        <f t="shared" si="11"/>
        <v>0.93211538461538457</v>
      </c>
      <c r="O33" s="16">
        <f t="shared" si="1"/>
        <v>1148760.1174906269</v>
      </c>
      <c r="P33" s="19">
        <f t="shared" si="2"/>
        <v>1139519.1409409323</v>
      </c>
      <c r="Q33" s="6">
        <f t="shared" si="12"/>
        <v>1232422.655446928</v>
      </c>
      <c r="R33" s="34">
        <f t="shared" si="3"/>
        <v>52.767521741836859</v>
      </c>
      <c r="S33" s="13">
        <v>27</v>
      </c>
      <c r="T33" s="11">
        <f>WastePrice</f>
        <v>5.4209626078619397</v>
      </c>
      <c r="U33" s="22">
        <f>22/(100-22/C33/1.05)</f>
        <v>0.79278106508875745</v>
      </c>
      <c r="V33" s="6">
        <f t="shared" si="13"/>
        <v>6.8379062601035061</v>
      </c>
      <c r="W33" s="26">
        <f>S33*J33+V33*HLOOKUP($B$8,Prices!$A$28:$V$29,2,FALSE)/Prices!$J$29</f>
        <v>33.214842154199047</v>
      </c>
      <c r="X33" t="s">
        <v>116</v>
      </c>
      <c r="Y33" s="29" t="s">
        <v>116</v>
      </c>
      <c r="Z33" s="29" t="s">
        <v>115</v>
      </c>
      <c r="AA33" s="29" t="s">
        <v>115</v>
      </c>
      <c r="AB33" t="s">
        <v>75</v>
      </c>
      <c r="AC33">
        <f t="shared" si="15"/>
        <v>3310344.8275862066</v>
      </c>
      <c r="AD33">
        <f t="shared" si="15"/>
        <v>3152709.3596059112</v>
      </c>
      <c r="AE33">
        <f t="shared" si="15"/>
        <v>3002580.3424818199</v>
      </c>
      <c r="AF33">
        <f t="shared" si="15"/>
        <v>328798.20721783122</v>
      </c>
      <c r="AG33">
        <f t="shared" si="15"/>
        <v>313141.14973126783</v>
      </c>
      <c r="AH33">
        <f t="shared" si="15"/>
        <v>298229.66641073127</v>
      </c>
      <c r="AI33">
        <f t="shared" si="15"/>
        <v>284028.25372450595</v>
      </c>
      <c r="AJ33">
        <f t="shared" si="15"/>
        <v>270503.09878524375</v>
      </c>
      <c r="AK33">
        <f t="shared" si="15"/>
        <v>257621.9988430893</v>
      </c>
      <c r="AL33">
        <f t="shared" si="15"/>
        <v>245354.284612466</v>
      </c>
      <c r="AM33">
        <f t="shared" si="16"/>
        <v>233670.74724996759</v>
      </c>
      <c r="AN33">
        <f t="shared" si="16"/>
        <v>222543.56880949298</v>
      </c>
      <c r="AO33">
        <f t="shared" si="16"/>
        <v>211946.2560090409</v>
      </c>
      <c r="AP33">
        <f t="shared" si="16"/>
        <v>201853.57715146759</v>
      </c>
      <c r="AQ33">
        <f t="shared" si="16"/>
        <v>192241.50204901668</v>
      </c>
      <c r="AR33">
        <f t="shared" si="16"/>
        <v>183087.14480858733</v>
      </c>
      <c r="AS33">
        <f t="shared" si="16"/>
        <v>174368.70934151171</v>
      </c>
      <c r="AT33">
        <f t="shared" si="16"/>
        <v>166065.43746810639</v>
      </c>
      <c r="AU33">
        <f t="shared" si="16"/>
        <v>158157.55949343467</v>
      </c>
      <c r="AV33">
        <f t="shared" si="16"/>
        <v>150626.24713660445</v>
      </c>
      <c r="AW33">
        <f t="shared" si="17"/>
        <v>143453.56870152804</v>
      </c>
      <c r="AX33">
        <f t="shared" si="17"/>
        <v>136622.44638240768</v>
      </c>
      <c r="AY33">
        <f t="shared" si="17"/>
        <v>130116.61560229299</v>
      </c>
      <c r="AZ33">
        <f t="shared" si="17"/>
        <v>123920.58628789811</v>
      </c>
      <c r="BA33">
        <f t="shared" si="17"/>
        <v>118019.60598847439</v>
      </c>
      <c r="BB33">
        <f t="shared" si="17"/>
        <v>112399.62475092798</v>
      </c>
      <c r="BC33">
        <f t="shared" si="17"/>
        <v>107047.26166755045</v>
      </c>
      <c r="BD33">
        <f t="shared" si="17"/>
        <v>101949.77301671474</v>
      </c>
      <c r="BE33">
        <f t="shared" si="17"/>
        <v>0</v>
      </c>
      <c r="BF33">
        <f t="shared" si="17"/>
        <v>0</v>
      </c>
      <c r="BG33">
        <f t="shared" si="18"/>
        <v>0</v>
      </c>
      <c r="BH33">
        <f t="shared" si="18"/>
        <v>0</v>
      </c>
      <c r="BI33">
        <f t="shared" si="18"/>
        <v>0</v>
      </c>
      <c r="BJ33">
        <f t="shared" si="18"/>
        <v>0</v>
      </c>
      <c r="BK33">
        <f t="shared" si="18"/>
        <v>0</v>
      </c>
      <c r="BL33">
        <f t="shared" si="18"/>
        <v>0</v>
      </c>
      <c r="BM33">
        <f t="shared" si="18"/>
        <v>0</v>
      </c>
      <c r="BN33">
        <f t="shared" si="18"/>
        <v>0</v>
      </c>
      <c r="BO33">
        <f t="shared" si="18"/>
        <v>0</v>
      </c>
      <c r="BP33">
        <f t="shared" si="18"/>
        <v>0</v>
      </c>
      <c r="BQ33">
        <f t="shared" si="19"/>
        <v>0</v>
      </c>
      <c r="BR33">
        <f t="shared" si="19"/>
        <v>0</v>
      </c>
      <c r="BS33">
        <f t="shared" si="19"/>
        <v>0</v>
      </c>
      <c r="BT33">
        <f t="shared" si="19"/>
        <v>0</v>
      </c>
      <c r="BU33">
        <f t="shared" si="19"/>
        <v>0</v>
      </c>
      <c r="BV33">
        <f t="shared" si="19"/>
        <v>0</v>
      </c>
      <c r="BW33">
        <f t="shared" si="19"/>
        <v>0</v>
      </c>
      <c r="BX33">
        <f t="shared" si="19"/>
        <v>0</v>
      </c>
      <c r="BY33">
        <f t="shared" si="19"/>
        <v>0</v>
      </c>
      <c r="BZ33">
        <f t="shared" si="19"/>
        <v>0</v>
      </c>
      <c r="CA33">
        <f t="shared" si="20"/>
        <v>0</v>
      </c>
      <c r="CB33">
        <f t="shared" si="20"/>
        <v>0</v>
      </c>
      <c r="CC33">
        <f t="shared" si="20"/>
        <v>0</v>
      </c>
      <c r="CD33">
        <f t="shared" si="20"/>
        <v>0</v>
      </c>
      <c r="CE33">
        <f t="shared" si="20"/>
        <v>0</v>
      </c>
      <c r="CF33">
        <f t="shared" si="20"/>
        <v>0</v>
      </c>
      <c r="CG33">
        <f t="shared" si="20"/>
        <v>0</v>
      </c>
      <c r="CH33">
        <f t="shared" si="20"/>
        <v>0</v>
      </c>
      <c r="CI33">
        <f t="shared" si="20"/>
        <v>0</v>
      </c>
      <c r="CJ33">
        <f t="shared" si="20"/>
        <v>0</v>
      </c>
      <c r="CK33">
        <f t="shared" si="20"/>
        <v>0</v>
      </c>
      <c r="CL33">
        <f t="shared" si="20"/>
        <v>0</v>
      </c>
      <c r="CM33">
        <f t="shared" si="20"/>
        <v>0</v>
      </c>
      <c r="CN33">
        <f t="shared" si="20"/>
        <v>0</v>
      </c>
      <c r="CO33">
        <f t="shared" si="20"/>
        <v>0</v>
      </c>
      <c r="CP33">
        <f t="shared" si="20"/>
        <v>0</v>
      </c>
      <c r="CQ33">
        <f t="shared" si="20"/>
        <v>0</v>
      </c>
      <c r="CR33">
        <f t="shared" si="20"/>
        <v>0</v>
      </c>
      <c r="CS33">
        <f t="shared" si="20"/>
        <v>0</v>
      </c>
      <c r="CT33">
        <f t="shared" si="20"/>
        <v>0</v>
      </c>
    </row>
    <row r="34" spans="1:98" hidden="1" x14ac:dyDescent="0.25">
      <c r="A34" s="35" t="s">
        <v>40</v>
      </c>
      <c r="B34" t="s">
        <v>101</v>
      </c>
      <c r="C34" s="27"/>
      <c r="D34" s="37" t="e">
        <f>0.9-Heat_capacity_unit_investment_cost/C34</f>
        <v>#DIV/0!</v>
      </c>
      <c r="E34" s="38" t="e">
        <f>9300-Heat_capacity_fixed_operating_costs/C34</f>
        <v>#DIV/0!</v>
      </c>
      <c r="F34" s="12">
        <v>25</v>
      </c>
      <c r="G34" s="12">
        <v>5</v>
      </c>
      <c r="H34" s="12">
        <f t="shared" si="10"/>
        <v>5</v>
      </c>
      <c r="I34" s="39">
        <v>2015</v>
      </c>
      <c r="J34" s="20">
        <f>HLOOKUP($B$8,Prices!$A$28:$V$29,2,FALSE)/HLOOKUP(I34,Prices!$A$28:$V$29,2,FALSE)</f>
        <v>1.0676750402114485</v>
      </c>
      <c r="K34" s="14">
        <f t="shared" si="0"/>
        <v>8.0242587190691314E-2</v>
      </c>
      <c r="L34" s="43">
        <f>1-3/52-0.03</f>
        <v>0.91230769230769226</v>
      </c>
      <c r="M34" s="5">
        <v>1</v>
      </c>
      <c r="N34" s="5">
        <f t="shared" si="11"/>
        <v>0.91230769230769226</v>
      </c>
      <c r="O34" s="16" t="e">
        <f t="shared" si="1"/>
        <v>#DIV/0!</v>
      </c>
      <c r="P34" s="19" t="e">
        <f t="shared" si="2"/>
        <v>#DIV/0!</v>
      </c>
      <c r="Q34" s="6" t="e">
        <f t="shared" si="12"/>
        <v>#DIV/0!</v>
      </c>
      <c r="R34" s="34" t="e">
        <f t="shared" si="3"/>
        <v>#DIV/0!</v>
      </c>
      <c r="S34" s="37">
        <v>4.37</v>
      </c>
      <c r="T34" s="11">
        <f>WCPriceCentral</f>
        <v>30.645906040268457</v>
      </c>
      <c r="U34" s="42">
        <f>30/(100-65/1.05)</f>
        <v>0.78749999999999998</v>
      </c>
      <c r="V34" s="6">
        <f t="shared" si="13"/>
        <v>38.915436241610742</v>
      </c>
      <c r="W34" s="26">
        <f>S34*J34+V34*HLOOKUP($B$8,Prices!$A$28:$V$29,2,FALSE)/Prices!$J$29</f>
        <v>40.035235265917095</v>
      </c>
      <c r="X34" t="s">
        <v>116</v>
      </c>
      <c r="Y34" s="29" t="s">
        <v>116</v>
      </c>
      <c r="Z34" s="29" t="s">
        <v>115</v>
      </c>
      <c r="AA34" s="29" t="s">
        <v>116</v>
      </c>
      <c r="AB34" t="s">
        <v>75</v>
      </c>
      <c r="AC34" t="e">
        <f t="shared" si="15"/>
        <v>#DIV/0!</v>
      </c>
      <c r="AD34" t="e">
        <f t="shared" si="15"/>
        <v>#DIV/0!</v>
      </c>
      <c r="AE34" t="e">
        <f t="shared" si="15"/>
        <v>#DIV/0!</v>
      </c>
      <c r="AF34" t="e">
        <f t="shared" si="15"/>
        <v>#DIV/0!</v>
      </c>
      <c r="AG34" t="e">
        <f t="shared" si="15"/>
        <v>#DIV/0!</v>
      </c>
      <c r="AH34" t="e">
        <f t="shared" si="15"/>
        <v>#DIV/0!</v>
      </c>
      <c r="AI34" t="e">
        <f t="shared" si="15"/>
        <v>#DIV/0!</v>
      </c>
      <c r="AJ34" t="e">
        <f t="shared" si="15"/>
        <v>#DIV/0!</v>
      </c>
      <c r="AK34" t="e">
        <f t="shared" si="15"/>
        <v>#DIV/0!</v>
      </c>
      <c r="AL34" t="e">
        <f t="shared" si="15"/>
        <v>#DIV/0!</v>
      </c>
      <c r="AM34" t="e">
        <f t="shared" si="16"/>
        <v>#DIV/0!</v>
      </c>
      <c r="AN34" t="e">
        <f t="shared" si="16"/>
        <v>#DIV/0!</v>
      </c>
      <c r="AO34" t="e">
        <f t="shared" si="16"/>
        <v>#DIV/0!</v>
      </c>
      <c r="AP34" t="e">
        <f t="shared" si="16"/>
        <v>#DIV/0!</v>
      </c>
      <c r="AQ34" t="e">
        <f t="shared" si="16"/>
        <v>#DIV/0!</v>
      </c>
      <c r="AR34" t="e">
        <f t="shared" si="16"/>
        <v>#DIV/0!</v>
      </c>
      <c r="AS34" t="e">
        <f t="shared" si="16"/>
        <v>#DIV/0!</v>
      </c>
      <c r="AT34" t="e">
        <f t="shared" si="16"/>
        <v>#DIV/0!</v>
      </c>
      <c r="AU34" t="e">
        <f t="shared" si="16"/>
        <v>#DIV/0!</v>
      </c>
      <c r="AV34" t="e">
        <f t="shared" si="16"/>
        <v>#DIV/0!</v>
      </c>
      <c r="AW34" t="e">
        <f t="shared" si="17"/>
        <v>#DIV/0!</v>
      </c>
      <c r="AX34" t="e">
        <f t="shared" si="17"/>
        <v>#DIV/0!</v>
      </c>
      <c r="AY34" t="e">
        <f t="shared" si="17"/>
        <v>#DIV/0!</v>
      </c>
      <c r="AZ34" t="e">
        <f t="shared" si="17"/>
        <v>#DIV/0!</v>
      </c>
      <c r="BA34" t="e">
        <f t="shared" si="17"/>
        <v>#DIV/0!</v>
      </c>
      <c r="BB34" t="e">
        <f t="shared" si="17"/>
        <v>#DIV/0!</v>
      </c>
      <c r="BC34" t="e">
        <f t="shared" si="17"/>
        <v>#DIV/0!</v>
      </c>
      <c r="BD34" t="e">
        <f t="shared" si="17"/>
        <v>#DIV/0!</v>
      </c>
      <c r="BE34" t="e">
        <f t="shared" si="17"/>
        <v>#DIV/0!</v>
      </c>
      <c r="BF34" t="e">
        <f t="shared" si="17"/>
        <v>#DIV/0!</v>
      </c>
      <c r="BG34">
        <f t="shared" si="18"/>
        <v>0</v>
      </c>
      <c r="BH34">
        <f t="shared" si="18"/>
        <v>0</v>
      </c>
      <c r="BI34">
        <f t="shared" si="18"/>
        <v>0</v>
      </c>
      <c r="BJ34">
        <f t="shared" si="18"/>
        <v>0</v>
      </c>
      <c r="BK34">
        <f t="shared" si="18"/>
        <v>0</v>
      </c>
      <c r="BL34">
        <f t="shared" si="18"/>
        <v>0</v>
      </c>
      <c r="BM34">
        <f t="shared" si="18"/>
        <v>0</v>
      </c>
      <c r="BN34">
        <f t="shared" si="18"/>
        <v>0</v>
      </c>
      <c r="BO34">
        <f t="shared" si="18"/>
        <v>0</v>
      </c>
      <c r="BP34">
        <f t="shared" si="18"/>
        <v>0</v>
      </c>
      <c r="BQ34">
        <f t="shared" si="19"/>
        <v>0</v>
      </c>
      <c r="BR34">
        <f t="shared" si="19"/>
        <v>0</v>
      </c>
      <c r="BS34">
        <f t="shared" si="19"/>
        <v>0</v>
      </c>
      <c r="BT34">
        <f t="shared" si="19"/>
        <v>0</v>
      </c>
      <c r="BU34">
        <f t="shared" si="19"/>
        <v>0</v>
      </c>
      <c r="BV34">
        <f t="shared" si="19"/>
        <v>0</v>
      </c>
      <c r="BW34">
        <f t="shared" si="19"/>
        <v>0</v>
      </c>
      <c r="BX34">
        <f t="shared" si="19"/>
        <v>0</v>
      </c>
      <c r="BY34">
        <f t="shared" si="19"/>
        <v>0</v>
      </c>
      <c r="BZ34">
        <f t="shared" si="19"/>
        <v>0</v>
      </c>
      <c r="CA34">
        <f t="shared" si="20"/>
        <v>0</v>
      </c>
      <c r="CB34">
        <f t="shared" si="20"/>
        <v>0</v>
      </c>
      <c r="CC34">
        <f t="shared" si="20"/>
        <v>0</v>
      </c>
      <c r="CD34">
        <f t="shared" si="20"/>
        <v>0</v>
      </c>
      <c r="CE34">
        <f t="shared" si="20"/>
        <v>0</v>
      </c>
      <c r="CF34">
        <f t="shared" si="20"/>
        <v>0</v>
      </c>
      <c r="CG34">
        <f t="shared" si="20"/>
        <v>0</v>
      </c>
      <c r="CH34">
        <f t="shared" si="20"/>
        <v>0</v>
      </c>
      <c r="CI34">
        <f t="shared" si="20"/>
        <v>0</v>
      </c>
      <c r="CJ34">
        <f t="shared" si="20"/>
        <v>0</v>
      </c>
      <c r="CK34">
        <f t="shared" si="20"/>
        <v>0</v>
      </c>
      <c r="CL34">
        <f t="shared" si="20"/>
        <v>0</v>
      </c>
      <c r="CM34">
        <f t="shared" si="20"/>
        <v>0</v>
      </c>
      <c r="CN34">
        <f t="shared" si="20"/>
        <v>0</v>
      </c>
      <c r="CO34">
        <f t="shared" si="20"/>
        <v>0</v>
      </c>
      <c r="CP34">
        <f t="shared" si="20"/>
        <v>0</v>
      </c>
      <c r="CQ34">
        <f t="shared" si="20"/>
        <v>0</v>
      </c>
      <c r="CR34">
        <f t="shared" si="20"/>
        <v>0</v>
      </c>
      <c r="CS34">
        <f t="shared" si="20"/>
        <v>0</v>
      </c>
      <c r="CT34">
        <f t="shared" si="20"/>
        <v>0</v>
      </c>
    </row>
    <row r="35" spans="1:98" hidden="1" x14ac:dyDescent="0.25">
      <c r="A35" s="35" t="s">
        <v>41</v>
      </c>
      <c r="B35" t="s">
        <v>101</v>
      </c>
      <c r="C35" s="27"/>
      <c r="D35" s="37" t="e">
        <f>0.9-Heat_capacity_unit_investment_cost/C35</f>
        <v>#DIV/0!</v>
      </c>
      <c r="E35" s="38" t="e">
        <f>9300-Heat_capacity_fixed_operating_costs/C35</f>
        <v>#DIV/0!</v>
      </c>
      <c r="F35" s="12">
        <v>25</v>
      </c>
      <c r="G35" s="12">
        <v>5</v>
      </c>
      <c r="H35" s="12">
        <f t="shared" si="10"/>
        <v>5</v>
      </c>
      <c r="I35" s="39">
        <v>2015</v>
      </c>
      <c r="J35" s="20">
        <f>HLOOKUP($B$8,Prices!$A$28:$V$29,2,FALSE)/HLOOKUP(I35,Prices!$A$28:$V$29,2,FALSE)</f>
        <v>1.0676750402114485</v>
      </c>
      <c r="K35" s="14">
        <f t="shared" si="0"/>
        <v>8.0242587190691314E-2</v>
      </c>
      <c r="L35" s="43">
        <f>1-3/52-0.03</f>
        <v>0.91230769230769226</v>
      </c>
      <c r="M35" s="5">
        <v>1</v>
      </c>
      <c r="N35" s="5">
        <f t="shared" si="11"/>
        <v>0.91230769230769226</v>
      </c>
      <c r="O35" s="16" t="e">
        <f t="shared" si="1"/>
        <v>#DIV/0!</v>
      </c>
      <c r="P35" s="19" t="e">
        <f t="shared" si="2"/>
        <v>#DIV/0!</v>
      </c>
      <c r="Q35" s="6" t="e">
        <f t="shared" si="12"/>
        <v>#DIV/0!</v>
      </c>
      <c r="R35" s="34" t="e">
        <f t="shared" si="3"/>
        <v>#DIV/0!</v>
      </c>
      <c r="S35" s="37">
        <v>4.58</v>
      </c>
      <c r="T35" s="11">
        <f>WCPriceCentral</f>
        <v>30.645906040268457</v>
      </c>
      <c r="U35" s="42">
        <f>30/(100-65/1.05)</f>
        <v>0.78749999999999998</v>
      </c>
      <c r="V35" s="6">
        <f t="shared" si="13"/>
        <v>38.915436241610742</v>
      </c>
      <c r="W35" s="26">
        <f>S35*J35+V35*HLOOKUP($B$8,Prices!$A$28:$V$29,2,FALSE)/Prices!$J$29</f>
        <v>40.259447024361499</v>
      </c>
      <c r="X35" t="s">
        <v>116</v>
      </c>
      <c r="Y35" s="29" t="s">
        <v>116</v>
      </c>
      <c r="Z35" s="29" t="s">
        <v>115</v>
      </c>
      <c r="AA35" s="29" t="s">
        <v>116</v>
      </c>
      <c r="AB35" t="s">
        <v>75</v>
      </c>
      <c r="AC35" t="e">
        <f t="shared" si="15"/>
        <v>#DIV/0!</v>
      </c>
      <c r="AD35" t="e">
        <f t="shared" si="15"/>
        <v>#DIV/0!</v>
      </c>
      <c r="AE35" t="e">
        <f t="shared" si="15"/>
        <v>#DIV/0!</v>
      </c>
      <c r="AF35" t="e">
        <f t="shared" si="15"/>
        <v>#DIV/0!</v>
      </c>
      <c r="AG35" t="e">
        <f t="shared" si="15"/>
        <v>#DIV/0!</v>
      </c>
      <c r="AH35" t="e">
        <f t="shared" si="15"/>
        <v>#DIV/0!</v>
      </c>
      <c r="AI35" t="e">
        <f t="shared" si="15"/>
        <v>#DIV/0!</v>
      </c>
      <c r="AJ35" t="e">
        <f t="shared" si="15"/>
        <v>#DIV/0!</v>
      </c>
      <c r="AK35" t="e">
        <f t="shared" si="15"/>
        <v>#DIV/0!</v>
      </c>
      <c r="AL35" t="e">
        <f t="shared" si="15"/>
        <v>#DIV/0!</v>
      </c>
      <c r="AM35" t="e">
        <f t="shared" si="16"/>
        <v>#DIV/0!</v>
      </c>
      <c r="AN35" t="e">
        <f t="shared" si="16"/>
        <v>#DIV/0!</v>
      </c>
      <c r="AO35" t="e">
        <f t="shared" si="16"/>
        <v>#DIV/0!</v>
      </c>
      <c r="AP35" t="e">
        <f t="shared" si="16"/>
        <v>#DIV/0!</v>
      </c>
      <c r="AQ35" t="e">
        <f t="shared" si="16"/>
        <v>#DIV/0!</v>
      </c>
      <c r="AR35" t="e">
        <f t="shared" si="16"/>
        <v>#DIV/0!</v>
      </c>
      <c r="AS35" t="e">
        <f t="shared" si="16"/>
        <v>#DIV/0!</v>
      </c>
      <c r="AT35" t="e">
        <f t="shared" si="16"/>
        <v>#DIV/0!</v>
      </c>
      <c r="AU35" t="e">
        <f t="shared" si="16"/>
        <v>#DIV/0!</v>
      </c>
      <c r="AV35" t="e">
        <f t="shared" si="16"/>
        <v>#DIV/0!</v>
      </c>
      <c r="AW35" t="e">
        <f t="shared" si="17"/>
        <v>#DIV/0!</v>
      </c>
      <c r="AX35" t="e">
        <f t="shared" si="17"/>
        <v>#DIV/0!</v>
      </c>
      <c r="AY35" t="e">
        <f t="shared" si="17"/>
        <v>#DIV/0!</v>
      </c>
      <c r="AZ35" t="e">
        <f t="shared" si="17"/>
        <v>#DIV/0!</v>
      </c>
      <c r="BA35" t="e">
        <f t="shared" si="17"/>
        <v>#DIV/0!</v>
      </c>
      <c r="BB35" t="e">
        <f t="shared" si="17"/>
        <v>#DIV/0!</v>
      </c>
      <c r="BC35" t="e">
        <f t="shared" si="17"/>
        <v>#DIV/0!</v>
      </c>
      <c r="BD35" t="e">
        <f t="shared" si="17"/>
        <v>#DIV/0!</v>
      </c>
      <c r="BE35" t="e">
        <f t="shared" si="17"/>
        <v>#DIV/0!</v>
      </c>
      <c r="BF35" t="e">
        <f t="shared" si="17"/>
        <v>#DIV/0!</v>
      </c>
      <c r="BG35">
        <f t="shared" si="18"/>
        <v>0</v>
      </c>
      <c r="BH35">
        <f t="shared" si="18"/>
        <v>0</v>
      </c>
      <c r="BI35">
        <f t="shared" si="18"/>
        <v>0</v>
      </c>
      <c r="BJ35">
        <f t="shared" si="18"/>
        <v>0</v>
      </c>
      <c r="BK35">
        <f t="shared" si="18"/>
        <v>0</v>
      </c>
      <c r="BL35">
        <f t="shared" si="18"/>
        <v>0</v>
      </c>
      <c r="BM35">
        <f t="shared" si="18"/>
        <v>0</v>
      </c>
      <c r="BN35">
        <f t="shared" si="18"/>
        <v>0</v>
      </c>
      <c r="BO35">
        <f t="shared" si="18"/>
        <v>0</v>
      </c>
      <c r="BP35">
        <f t="shared" si="18"/>
        <v>0</v>
      </c>
      <c r="BQ35">
        <f t="shared" si="19"/>
        <v>0</v>
      </c>
      <c r="BR35">
        <f t="shared" si="19"/>
        <v>0</v>
      </c>
      <c r="BS35">
        <f t="shared" si="19"/>
        <v>0</v>
      </c>
      <c r="BT35">
        <f t="shared" si="19"/>
        <v>0</v>
      </c>
      <c r="BU35">
        <f t="shared" si="19"/>
        <v>0</v>
      </c>
      <c r="BV35">
        <f t="shared" si="19"/>
        <v>0</v>
      </c>
      <c r="BW35">
        <f t="shared" si="19"/>
        <v>0</v>
      </c>
      <c r="BX35">
        <f t="shared" si="19"/>
        <v>0</v>
      </c>
      <c r="BY35">
        <f t="shared" si="19"/>
        <v>0</v>
      </c>
      <c r="BZ35">
        <f t="shared" si="19"/>
        <v>0</v>
      </c>
      <c r="CA35">
        <f t="shared" si="20"/>
        <v>0</v>
      </c>
      <c r="CB35">
        <f t="shared" si="20"/>
        <v>0</v>
      </c>
      <c r="CC35">
        <f t="shared" si="20"/>
        <v>0</v>
      </c>
      <c r="CD35">
        <f t="shared" si="20"/>
        <v>0</v>
      </c>
      <c r="CE35">
        <f t="shared" si="20"/>
        <v>0</v>
      </c>
      <c r="CF35">
        <f t="shared" si="20"/>
        <v>0</v>
      </c>
      <c r="CG35">
        <f t="shared" si="20"/>
        <v>0</v>
      </c>
      <c r="CH35">
        <f t="shared" si="20"/>
        <v>0</v>
      </c>
      <c r="CI35">
        <f t="shared" si="20"/>
        <v>0</v>
      </c>
      <c r="CJ35">
        <f t="shared" si="20"/>
        <v>0</v>
      </c>
      <c r="CK35">
        <f t="shared" si="20"/>
        <v>0</v>
      </c>
      <c r="CL35">
        <f t="shared" si="20"/>
        <v>0</v>
      </c>
      <c r="CM35">
        <f t="shared" si="20"/>
        <v>0</v>
      </c>
      <c r="CN35">
        <f t="shared" si="20"/>
        <v>0</v>
      </c>
      <c r="CO35">
        <f t="shared" si="20"/>
        <v>0</v>
      </c>
      <c r="CP35">
        <f t="shared" si="20"/>
        <v>0</v>
      </c>
      <c r="CQ35">
        <f t="shared" si="20"/>
        <v>0</v>
      </c>
      <c r="CR35">
        <f t="shared" si="20"/>
        <v>0</v>
      </c>
      <c r="CS35">
        <f t="shared" si="20"/>
        <v>0</v>
      </c>
      <c r="CT35">
        <f t="shared" si="20"/>
        <v>0</v>
      </c>
    </row>
    <row r="36" spans="1:98" x14ac:dyDescent="0.25">
      <c r="A36" t="s">
        <v>42</v>
      </c>
      <c r="B36" t="s">
        <v>220</v>
      </c>
      <c r="C36" s="27">
        <v>0.37</v>
      </c>
      <c r="D36" s="13">
        <f>3.57-Heat_capacity_unit_investment_cost/C36</f>
        <v>3.4348648648648648</v>
      </c>
      <c r="E36" s="25">
        <f>148872-Heat_capacity_fixed_operating_costs/C36</f>
        <v>143736.86486486485</v>
      </c>
      <c r="F36" s="12">
        <v>25</v>
      </c>
      <c r="G36" s="12">
        <v>2.5</v>
      </c>
      <c r="H36" s="12">
        <f t="shared" si="10"/>
        <v>3</v>
      </c>
      <c r="I36" s="23">
        <v>2020</v>
      </c>
      <c r="J36" s="20">
        <f>HLOOKUP($B$8,Prices!$A$28:$V$29,2,FALSE)/HLOOKUP(I36,Prices!$A$28:$V$29,2,FALSE)</f>
        <v>1</v>
      </c>
      <c r="K36" s="14">
        <f t="shared" si="0"/>
        <v>7.5031285885037005E-2</v>
      </c>
      <c r="L36" s="24">
        <f>1-3/52-0.03</f>
        <v>0.91230769230769226</v>
      </c>
      <c r="M36" s="5">
        <v>1</v>
      </c>
      <c r="N36" s="5">
        <f t="shared" si="11"/>
        <v>0.91230769230769226</v>
      </c>
      <c r="O36" s="16">
        <f t="shared" si="1"/>
        <v>390201.60748463875</v>
      </c>
      <c r="P36" s="19">
        <f t="shared" si="2"/>
        <v>387448.96751781332</v>
      </c>
      <c r="Q36" s="6">
        <f t="shared" si="12"/>
        <v>427708.33872683847</v>
      </c>
      <c r="R36" s="34">
        <f t="shared" si="3"/>
        <v>18.312799560430726</v>
      </c>
      <c r="S36" s="13">
        <v>4.75</v>
      </c>
      <c r="T36" s="11">
        <f>WCPriceSmall</f>
        <v>28.737181208053691</v>
      </c>
      <c r="U36" s="22">
        <f>28/(100-28/C36/1.05)</f>
        <v>1.0025806451612904</v>
      </c>
      <c r="V36" s="6">
        <f t="shared" si="13"/>
        <v>28.66321162965458</v>
      </c>
      <c r="W36" s="26">
        <f>S36*J36+V36*HLOOKUP($B$8,Prices!$A$28:$V$29,2,FALSE)/Prices!$J$29</f>
        <v>30.80144457011162</v>
      </c>
      <c r="X36" t="s">
        <v>116</v>
      </c>
      <c r="Y36" s="29" t="s">
        <v>116</v>
      </c>
      <c r="Z36" s="29" t="s">
        <v>115</v>
      </c>
      <c r="AA36" s="29" t="s">
        <v>116</v>
      </c>
      <c r="AB36" t="s">
        <v>75</v>
      </c>
      <c r="AC36">
        <f t="shared" si="15"/>
        <v>1090433.2904332904</v>
      </c>
      <c r="AD36">
        <f t="shared" si="15"/>
        <v>1038507.8956507528</v>
      </c>
      <c r="AE36">
        <f t="shared" si="15"/>
        <v>989055.13871500257</v>
      </c>
      <c r="AF36">
        <f t="shared" si="15"/>
        <v>118252.67444315062</v>
      </c>
      <c r="AG36">
        <f t="shared" si="15"/>
        <v>112621.59470776249</v>
      </c>
      <c r="AH36">
        <f t="shared" si="15"/>
        <v>107258.66162644047</v>
      </c>
      <c r="AI36">
        <f t="shared" si="15"/>
        <v>102151.10631089567</v>
      </c>
      <c r="AJ36">
        <f t="shared" si="15"/>
        <v>97286.767915138742</v>
      </c>
      <c r="AK36">
        <f t="shared" si="15"/>
        <v>92654.064681084521</v>
      </c>
      <c r="AL36">
        <f t="shared" si="15"/>
        <v>88241.96636293763</v>
      </c>
      <c r="AM36">
        <f t="shared" si="16"/>
        <v>84039.967964702504</v>
      </c>
      <c r="AN36">
        <f t="shared" si="16"/>
        <v>80038.064728288111</v>
      </c>
      <c r="AO36">
        <f t="shared" si="16"/>
        <v>76226.728312655323</v>
      </c>
      <c r="AP36">
        <f t="shared" si="16"/>
        <v>72596.884107290811</v>
      </c>
      <c r="AQ36">
        <f t="shared" si="16"/>
        <v>69139.889625991229</v>
      </c>
      <c r="AR36">
        <f t="shared" si="16"/>
        <v>65847.513929515451</v>
      </c>
      <c r="AS36">
        <f t="shared" si="16"/>
        <v>62711.918028109947</v>
      </c>
      <c r="AT36">
        <f t="shared" si="16"/>
        <v>59725.636217247571</v>
      </c>
      <c r="AU36">
        <f t="shared" si="16"/>
        <v>56881.558302140547</v>
      </c>
      <c r="AV36">
        <f t="shared" si="16"/>
        <v>54172.912668705285</v>
      </c>
      <c r="AW36">
        <f t="shared" si="17"/>
        <v>51593.250160671698</v>
      </c>
      <c r="AX36">
        <f t="shared" si="17"/>
        <v>49136.428724449237</v>
      </c>
      <c r="AY36">
        <f t="shared" si="17"/>
        <v>46796.598785189744</v>
      </c>
      <c r="AZ36">
        <f t="shared" si="17"/>
        <v>44568.189319228331</v>
      </c>
      <c r="BA36">
        <f t="shared" si="17"/>
        <v>42445.89458974127</v>
      </c>
      <c r="BB36">
        <f t="shared" si="17"/>
        <v>40424.661514039304</v>
      </c>
      <c r="BC36">
        <f t="shared" si="17"/>
        <v>38499.677632418381</v>
      </c>
      <c r="BD36">
        <f t="shared" si="17"/>
        <v>36666.359649922269</v>
      </c>
      <c r="BE36">
        <f t="shared" si="17"/>
        <v>0</v>
      </c>
      <c r="BF36">
        <f t="shared" si="17"/>
        <v>0</v>
      </c>
      <c r="BG36">
        <f t="shared" si="18"/>
        <v>0</v>
      </c>
      <c r="BH36">
        <f t="shared" si="18"/>
        <v>0</v>
      </c>
      <c r="BI36">
        <f t="shared" si="18"/>
        <v>0</v>
      </c>
      <c r="BJ36">
        <f t="shared" si="18"/>
        <v>0</v>
      </c>
      <c r="BK36">
        <f t="shared" si="18"/>
        <v>0</v>
      </c>
      <c r="BL36">
        <f t="shared" si="18"/>
        <v>0</v>
      </c>
      <c r="BM36">
        <f t="shared" si="18"/>
        <v>0</v>
      </c>
      <c r="BN36">
        <f t="shared" si="18"/>
        <v>0</v>
      </c>
      <c r="BO36">
        <f t="shared" si="18"/>
        <v>0</v>
      </c>
      <c r="BP36">
        <f t="shared" si="18"/>
        <v>0</v>
      </c>
      <c r="BQ36">
        <f t="shared" si="19"/>
        <v>0</v>
      </c>
      <c r="BR36">
        <f t="shared" si="19"/>
        <v>0</v>
      </c>
      <c r="BS36">
        <f t="shared" si="19"/>
        <v>0</v>
      </c>
      <c r="BT36">
        <f t="shared" si="19"/>
        <v>0</v>
      </c>
      <c r="BU36">
        <f t="shared" si="19"/>
        <v>0</v>
      </c>
      <c r="BV36">
        <f t="shared" si="19"/>
        <v>0</v>
      </c>
      <c r="BW36">
        <f t="shared" si="19"/>
        <v>0</v>
      </c>
      <c r="BX36">
        <f t="shared" si="19"/>
        <v>0</v>
      </c>
      <c r="BY36">
        <f t="shared" si="19"/>
        <v>0</v>
      </c>
      <c r="BZ36">
        <f t="shared" si="19"/>
        <v>0</v>
      </c>
      <c r="CA36">
        <f t="shared" si="20"/>
        <v>0</v>
      </c>
      <c r="CB36">
        <f t="shared" si="20"/>
        <v>0</v>
      </c>
      <c r="CC36">
        <f t="shared" si="20"/>
        <v>0</v>
      </c>
      <c r="CD36">
        <f t="shared" si="20"/>
        <v>0</v>
      </c>
      <c r="CE36">
        <f t="shared" si="20"/>
        <v>0</v>
      </c>
      <c r="CF36">
        <f t="shared" si="20"/>
        <v>0</v>
      </c>
      <c r="CG36">
        <f t="shared" si="20"/>
        <v>0</v>
      </c>
      <c r="CH36">
        <f t="shared" si="20"/>
        <v>0</v>
      </c>
      <c r="CI36">
        <f t="shared" si="20"/>
        <v>0</v>
      </c>
      <c r="CJ36">
        <f t="shared" si="20"/>
        <v>0</v>
      </c>
      <c r="CK36">
        <f t="shared" si="20"/>
        <v>0</v>
      </c>
      <c r="CL36">
        <f t="shared" si="20"/>
        <v>0</v>
      </c>
      <c r="CM36">
        <f t="shared" si="20"/>
        <v>0</v>
      </c>
      <c r="CN36">
        <f t="shared" si="20"/>
        <v>0</v>
      </c>
      <c r="CO36">
        <f t="shared" si="20"/>
        <v>0</v>
      </c>
      <c r="CP36">
        <f t="shared" si="20"/>
        <v>0</v>
      </c>
      <c r="CQ36">
        <f t="shared" si="20"/>
        <v>0</v>
      </c>
      <c r="CR36">
        <f t="shared" si="20"/>
        <v>0</v>
      </c>
      <c r="CS36">
        <f t="shared" si="20"/>
        <v>0</v>
      </c>
      <c r="CT36">
        <f t="shared" si="20"/>
        <v>0</v>
      </c>
    </row>
    <row r="37" spans="1:98" x14ac:dyDescent="0.25">
      <c r="A37" t="s">
        <v>43</v>
      </c>
      <c r="B37" t="s">
        <v>102</v>
      </c>
      <c r="C37" s="27">
        <v>0.15</v>
      </c>
      <c r="D37" s="13">
        <f>6.37-Heat_capacity_unit_investment_cost/C37</f>
        <v>6.0366666666666671</v>
      </c>
      <c r="E37" s="25">
        <f>290300-Heat_capacity_fixed_operating_costs/C37</f>
        <v>277633.33333333331</v>
      </c>
      <c r="F37" s="12">
        <v>25</v>
      </c>
      <c r="G37" s="12">
        <v>1</v>
      </c>
      <c r="H37" s="12">
        <f t="shared" si="10"/>
        <v>1</v>
      </c>
      <c r="I37" s="23">
        <v>2020</v>
      </c>
      <c r="J37" s="20">
        <f>HLOOKUP($B$8,Prices!$A$28:$V$29,2,FALSE)/HLOOKUP(I37,Prices!$A$28:$V$29,2,FALSE)</f>
        <v>1</v>
      </c>
      <c r="K37" s="14">
        <f t="shared" si="0"/>
        <v>7.2470900752687001E-2</v>
      </c>
      <c r="L37" s="24">
        <f>1-3/52-0.03</f>
        <v>0.91230769230769226</v>
      </c>
      <c r="M37" s="5">
        <v>1</v>
      </c>
      <c r="N37" s="5">
        <f t="shared" si="11"/>
        <v>0.91230769230769226</v>
      </c>
      <c r="O37" s="16">
        <f t="shared" si="1"/>
        <v>705949.66722968279</v>
      </c>
      <c r="P37" s="19">
        <f t="shared" si="2"/>
        <v>705949.66722968291</v>
      </c>
      <c r="Q37" s="6">
        <f t="shared" si="12"/>
        <v>773806.54923995584</v>
      </c>
      <c r="R37" s="34">
        <f t="shared" si="3"/>
        <v>33.13137236688317</v>
      </c>
      <c r="S37" s="13">
        <v>9.8000000000000007</v>
      </c>
      <c r="T37" s="11">
        <f>WCPriceSmall</f>
        <v>28.737181208053691</v>
      </c>
      <c r="U37" s="22">
        <f>14/(100-14/C37/1.05)</f>
        <v>1.2600000000000013</v>
      </c>
      <c r="V37" s="6">
        <f t="shared" si="13"/>
        <v>22.80728667305846</v>
      </c>
      <c r="W37" s="26">
        <f>S37*J37+V37*HLOOKUP($B$8,Prices!$A$28:$V$29,2,FALSE)/Prices!$J$29</f>
        <v>30.529106432131808</v>
      </c>
      <c r="X37" t="s">
        <v>116</v>
      </c>
      <c r="Y37" s="29" t="s">
        <v>116</v>
      </c>
      <c r="Z37" s="29" t="s">
        <v>115</v>
      </c>
      <c r="AA37" s="29" t="s">
        <v>116</v>
      </c>
      <c r="AB37" t="s">
        <v>75</v>
      </c>
      <c r="AC37">
        <f t="shared" si="15"/>
        <v>5749206.3492063489</v>
      </c>
      <c r="AD37">
        <f t="shared" si="15"/>
        <v>251821.61753590323</v>
      </c>
      <c r="AE37">
        <f t="shared" si="15"/>
        <v>239830.11193895544</v>
      </c>
      <c r="AF37">
        <f t="shared" si="15"/>
        <v>228409.63041805281</v>
      </c>
      <c r="AG37">
        <f t="shared" si="15"/>
        <v>217532.98135052648</v>
      </c>
      <c r="AH37">
        <f t="shared" si="15"/>
        <v>207174.26795288239</v>
      </c>
      <c r="AI37">
        <f t="shared" si="15"/>
        <v>197308.82662179272</v>
      </c>
      <c r="AJ37">
        <f t="shared" si="15"/>
        <v>187913.16821123118</v>
      </c>
      <c r="AK37">
        <f t="shared" si="15"/>
        <v>178964.92210593444</v>
      </c>
      <c r="AL37">
        <f t="shared" si="15"/>
        <v>170442.7829580328</v>
      </c>
      <c r="AM37">
        <f t="shared" si="16"/>
        <v>162326.45996003124</v>
      </c>
      <c r="AN37">
        <f t="shared" si="16"/>
        <v>154596.62853336308</v>
      </c>
      <c r="AO37">
        <f t="shared" si="16"/>
        <v>147234.88431748864</v>
      </c>
      <c r="AP37">
        <f t="shared" si="16"/>
        <v>140223.69934998921</v>
      </c>
      <c r="AQ37">
        <f t="shared" si="16"/>
        <v>133546.380333323</v>
      </c>
      <c r="AR37">
        <f t="shared" si="16"/>
        <v>127187.02888887907</v>
      </c>
      <c r="AS37">
        <f t="shared" si="16"/>
        <v>121130.50370369434</v>
      </c>
      <c r="AT37">
        <f t="shared" si="16"/>
        <v>115362.3844797089</v>
      </c>
      <c r="AU37">
        <f t="shared" si="16"/>
        <v>109868.93759972276</v>
      </c>
      <c r="AV37">
        <f t="shared" si="16"/>
        <v>104637.08342830739</v>
      </c>
      <c r="AW37">
        <f t="shared" si="17"/>
        <v>99654.365169816563</v>
      </c>
      <c r="AX37">
        <f t="shared" si="17"/>
        <v>94908.919209349115</v>
      </c>
      <c r="AY37">
        <f t="shared" si="17"/>
        <v>90389.446866046754</v>
      </c>
      <c r="AZ37">
        <f t="shared" si="17"/>
        <v>86085.187491473116</v>
      </c>
      <c r="BA37">
        <f t="shared" si="17"/>
        <v>81985.892849022013</v>
      </c>
      <c r="BB37">
        <f t="shared" si="17"/>
        <v>78081.802713354293</v>
      </c>
      <c r="BC37">
        <f t="shared" si="17"/>
        <v>0</v>
      </c>
      <c r="BD37">
        <f t="shared" si="17"/>
        <v>0</v>
      </c>
      <c r="BE37">
        <f t="shared" si="17"/>
        <v>0</v>
      </c>
      <c r="BF37">
        <f t="shared" si="17"/>
        <v>0</v>
      </c>
      <c r="BG37">
        <f t="shared" si="18"/>
        <v>0</v>
      </c>
      <c r="BH37">
        <f t="shared" si="18"/>
        <v>0</v>
      </c>
      <c r="BI37">
        <f t="shared" si="18"/>
        <v>0</v>
      </c>
      <c r="BJ37">
        <f t="shared" si="18"/>
        <v>0</v>
      </c>
      <c r="BK37">
        <f t="shared" si="18"/>
        <v>0</v>
      </c>
      <c r="BL37">
        <f t="shared" si="18"/>
        <v>0</v>
      </c>
      <c r="BM37">
        <f t="shared" si="18"/>
        <v>0</v>
      </c>
      <c r="BN37">
        <f t="shared" si="18"/>
        <v>0</v>
      </c>
      <c r="BO37">
        <f t="shared" si="18"/>
        <v>0</v>
      </c>
      <c r="BP37">
        <f t="shared" si="18"/>
        <v>0</v>
      </c>
      <c r="BQ37">
        <f t="shared" si="19"/>
        <v>0</v>
      </c>
      <c r="BR37">
        <f t="shared" si="19"/>
        <v>0</v>
      </c>
      <c r="BS37">
        <f t="shared" si="19"/>
        <v>0</v>
      </c>
      <c r="BT37">
        <f t="shared" si="19"/>
        <v>0</v>
      </c>
      <c r="BU37">
        <f t="shared" si="19"/>
        <v>0</v>
      </c>
      <c r="BV37">
        <f t="shared" si="19"/>
        <v>0</v>
      </c>
      <c r="BW37">
        <f t="shared" si="19"/>
        <v>0</v>
      </c>
      <c r="BX37">
        <f t="shared" si="19"/>
        <v>0</v>
      </c>
      <c r="BY37">
        <f t="shared" si="19"/>
        <v>0</v>
      </c>
      <c r="BZ37">
        <f t="shared" si="19"/>
        <v>0</v>
      </c>
      <c r="CA37">
        <f t="shared" si="20"/>
        <v>0</v>
      </c>
      <c r="CB37">
        <f t="shared" si="20"/>
        <v>0</v>
      </c>
      <c r="CC37">
        <f t="shared" si="20"/>
        <v>0</v>
      </c>
      <c r="CD37">
        <f t="shared" si="20"/>
        <v>0</v>
      </c>
      <c r="CE37">
        <f t="shared" si="20"/>
        <v>0</v>
      </c>
      <c r="CF37">
        <f t="shared" si="20"/>
        <v>0</v>
      </c>
      <c r="CG37">
        <f t="shared" si="20"/>
        <v>0</v>
      </c>
      <c r="CH37">
        <f t="shared" si="20"/>
        <v>0</v>
      </c>
      <c r="CI37">
        <f t="shared" si="20"/>
        <v>0</v>
      </c>
      <c r="CJ37">
        <f t="shared" si="20"/>
        <v>0</v>
      </c>
      <c r="CK37">
        <f t="shared" si="20"/>
        <v>0</v>
      </c>
      <c r="CL37">
        <f t="shared" si="20"/>
        <v>0</v>
      </c>
      <c r="CM37">
        <f t="shared" si="20"/>
        <v>0</v>
      </c>
      <c r="CN37">
        <f t="shared" si="20"/>
        <v>0</v>
      </c>
      <c r="CO37">
        <f t="shared" si="20"/>
        <v>0</v>
      </c>
      <c r="CP37">
        <f t="shared" si="20"/>
        <v>0</v>
      </c>
      <c r="CQ37">
        <f t="shared" si="20"/>
        <v>0</v>
      </c>
      <c r="CR37">
        <f t="shared" si="20"/>
        <v>0</v>
      </c>
      <c r="CS37">
        <f t="shared" si="20"/>
        <v>0</v>
      </c>
      <c r="CT37">
        <f t="shared" si="20"/>
        <v>0</v>
      </c>
    </row>
    <row r="38" spans="1:98" hidden="1" x14ac:dyDescent="0.25">
      <c r="A38" s="35" t="s">
        <v>44</v>
      </c>
      <c r="B38" t="s">
        <v>101</v>
      </c>
      <c r="C38" s="27"/>
      <c r="D38" s="37" t="e">
        <f>0.9-Heat_capacity_unit_investment_cost/C38</f>
        <v>#DIV/0!</v>
      </c>
      <c r="E38" s="38" t="e">
        <f>9300-Heat_capacity_fixed_operating_costs/C38</f>
        <v>#DIV/0!</v>
      </c>
      <c r="F38" s="12">
        <v>25</v>
      </c>
      <c r="G38" s="12">
        <v>5</v>
      </c>
      <c r="H38" s="12">
        <f t="shared" si="10"/>
        <v>5</v>
      </c>
      <c r="I38" s="39">
        <v>2015</v>
      </c>
      <c r="J38" s="20">
        <f>HLOOKUP($B$8,Prices!$A$28:$V$29,2,FALSE)/HLOOKUP(I38,Prices!$A$28:$V$29,2,FALSE)</f>
        <v>1.0676750402114485</v>
      </c>
      <c r="K38" s="14">
        <f t="shared" si="0"/>
        <v>8.0242587190691314E-2</v>
      </c>
      <c r="L38" s="43">
        <f t="shared" ref="L38:L47" si="21">1-3/52-0.03</f>
        <v>0.91230769230769226</v>
      </c>
      <c r="M38" s="5">
        <v>1</v>
      </c>
      <c r="N38" s="5">
        <f t="shared" si="11"/>
        <v>0.91230769230769226</v>
      </c>
      <c r="O38" s="16" t="e">
        <f t="shared" si="1"/>
        <v>#DIV/0!</v>
      </c>
      <c r="P38" s="19" t="e">
        <f t="shared" si="2"/>
        <v>#DIV/0!</v>
      </c>
      <c r="Q38" s="6" t="e">
        <f t="shared" si="12"/>
        <v>#DIV/0!</v>
      </c>
      <c r="R38" s="34" t="e">
        <f t="shared" si="3"/>
        <v>#DIV/0!</v>
      </c>
      <c r="S38" s="37">
        <v>1.71</v>
      </c>
      <c r="T38" s="11">
        <f>WPpriceCentral</f>
        <v>40.64859060402685</v>
      </c>
      <c r="U38" s="42">
        <f>40/(100-50/0.95)</f>
        <v>0.84444444444444455</v>
      </c>
      <c r="V38" s="6">
        <f t="shared" si="13"/>
        <v>48.136488873189684</v>
      </c>
      <c r="W38" s="26">
        <f>S38*J38+V38*HLOOKUP($B$8,Prices!$A$28:$V$29,2,FALSE)/Prices!$J$29</f>
        <v>45.576057947889801</v>
      </c>
      <c r="X38" t="s">
        <v>116</v>
      </c>
      <c r="Y38" s="29" t="s">
        <v>116</v>
      </c>
      <c r="Z38" s="29" t="s">
        <v>115</v>
      </c>
      <c r="AA38" s="29" t="s">
        <v>116</v>
      </c>
      <c r="AB38" t="s">
        <v>75</v>
      </c>
      <c r="AC38" t="e">
        <f t="shared" ref="AC38:AL47" si="22">IF(AC$17&lt;=$H38,1000000*$D38/$H38,IF(AC$17&lt;=($H38+$F38),$E38,0))/(1+WACC)^AC$17</f>
        <v>#DIV/0!</v>
      </c>
      <c r="AD38" t="e">
        <f t="shared" si="22"/>
        <v>#DIV/0!</v>
      </c>
      <c r="AE38" t="e">
        <f t="shared" si="22"/>
        <v>#DIV/0!</v>
      </c>
      <c r="AF38" t="e">
        <f t="shared" si="22"/>
        <v>#DIV/0!</v>
      </c>
      <c r="AG38" t="e">
        <f t="shared" si="22"/>
        <v>#DIV/0!</v>
      </c>
      <c r="AH38" t="e">
        <f t="shared" si="22"/>
        <v>#DIV/0!</v>
      </c>
      <c r="AI38" t="e">
        <f t="shared" si="22"/>
        <v>#DIV/0!</v>
      </c>
      <c r="AJ38" t="e">
        <f t="shared" si="22"/>
        <v>#DIV/0!</v>
      </c>
      <c r="AK38" t="e">
        <f t="shared" si="22"/>
        <v>#DIV/0!</v>
      </c>
      <c r="AL38" t="e">
        <f t="shared" si="22"/>
        <v>#DIV/0!</v>
      </c>
      <c r="AM38" t="e">
        <f t="shared" ref="AM38:AV47" si="23">IF(AM$17&lt;=$H38,1000000*$D38/$H38,IF(AM$17&lt;=($H38+$F38),$E38,0))/(1+WACC)^AM$17</f>
        <v>#DIV/0!</v>
      </c>
      <c r="AN38" t="e">
        <f t="shared" si="23"/>
        <v>#DIV/0!</v>
      </c>
      <c r="AO38" t="e">
        <f t="shared" si="23"/>
        <v>#DIV/0!</v>
      </c>
      <c r="AP38" t="e">
        <f t="shared" si="23"/>
        <v>#DIV/0!</v>
      </c>
      <c r="AQ38" t="e">
        <f t="shared" si="23"/>
        <v>#DIV/0!</v>
      </c>
      <c r="AR38" t="e">
        <f t="shared" si="23"/>
        <v>#DIV/0!</v>
      </c>
      <c r="AS38" t="e">
        <f t="shared" si="23"/>
        <v>#DIV/0!</v>
      </c>
      <c r="AT38" t="e">
        <f t="shared" si="23"/>
        <v>#DIV/0!</v>
      </c>
      <c r="AU38" t="e">
        <f t="shared" si="23"/>
        <v>#DIV/0!</v>
      </c>
      <c r="AV38" t="e">
        <f t="shared" si="23"/>
        <v>#DIV/0!</v>
      </c>
      <c r="AW38" t="e">
        <f t="shared" ref="AW38:BF47" si="24">IF(AW$17&lt;=$H38,1000000*$D38/$H38,IF(AW$17&lt;=($H38+$F38),$E38,0))/(1+WACC)^AW$17</f>
        <v>#DIV/0!</v>
      </c>
      <c r="AX38" t="e">
        <f t="shared" si="24"/>
        <v>#DIV/0!</v>
      </c>
      <c r="AY38" t="e">
        <f t="shared" si="24"/>
        <v>#DIV/0!</v>
      </c>
      <c r="AZ38" t="e">
        <f t="shared" si="24"/>
        <v>#DIV/0!</v>
      </c>
      <c r="BA38" t="e">
        <f t="shared" si="24"/>
        <v>#DIV/0!</v>
      </c>
      <c r="BB38" t="e">
        <f t="shared" si="24"/>
        <v>#DIV/0!</v>
      </c>
      <c r="BC38" t="e">
        <f t="shared" si="24"/>
        <v>#DIV/0!</v>
      </c>
      <c r="BD38" t="e">
        <f t="shared" si="24"/>
        <v>#DIV/0!</v>
      </c>
      <c r="BE38" t="e">
        <f t="shared" si="24"/>
        <v>#DIV/0!</v>
      </c>
      <c r="BF38" t="e">
        <f t="shared" si="24"/>
        <v>#DIV/0!</v>
      </c>
      <c r="BG38">
        <f t="shared" ref="BG38:BP47" si="25">IF(BG$17&lt;=$H38,1000000*$D38/$H38,IF(BG$17&lt;=($H38+$F38),$E38,0))/(1+WACC)^BG$17</f>
        <v>0</v>
      </c>
      <c r="BH38">
        <f t="shared" si="25"/>
        <v>0</v>
      </c>
      <c r="BI38">
        <f t="shared" si="25"/>
        <v>0</v>
      </c>
      <c r="BJ38">
        <f t="shared" si="25"/>
        <v>0</v>
      </c>
      <c r="BK38">
        <f t="shared" si="25"/>
        <v>0</v>
      </c>
      <c r="BL38">
        <f t="shared" si="25"/>
        <v>0</v>
      </c>
      <c r="BM38">
        <f t="shared" si="25"/>
        <v>0</v>
      </c>
      <c r="BN38">
        <f t="shared" si="25"/>
        <v>0</v>
      </c>
      <c r="BO38">
        <f t="shared" si="25"/>
        <v>0</v>
      </c>
      <c r="BP38">
        <f t="shared" si="25"/>
        <v>0</v>
      </c>
      <c r="BQ38">
        <f t="shared" ref="BQ38:CF47" si="26">IF(BQ$17&lt;=$H38,1000000*$D38/$H38,IF(BQ$17&lt;=($H38+$F38),$E38,0))/(1+WACC)^BQ$17</f>
        <v>0</v>
      </c>
      <c r="BR38">
        <f t="shared" si="26"/>
        <v>0</v>
      </c>
      <c r="BS38">
        <f t="shared" si="26"/>
        <v>0</v>
      </c>
      <c r="BT38">
        <f t="shared" si="26"/>
        <v>0</v>
      </c>
      <c r="BU38">
        <f t="shared" si="26"/>
        <v>0</v>
      </c>
      <c r="BV38">
        <f t="shared" si="26"/>
        <v>0</v>
      </c>
      <c r="BW38">
        <f t="shared" si="26"/>
        <v>0</v>
      </c>
      <c r="BX38">
        <f t="shared" si="26"/>
        <v>0</v>
      </c>
      <c r="BY38">
        <f t="shared" si="26"/>
        <v>0</v>
      </c>
      <c r="BZ38">
        <f t="shared" si="26"/>
        <v>0</v>
      </c>
      <c r="CA38">
        <f t="shared" si="26"/>
        <v>0</v>
      </c>
      <c r="CB38">
        <f t="shared" si="26"/>
        <v>0</v>
      </c>
      <c r="CC38">
        <f t="shared" si="26"/>
        <v>0</v>
      </c>
      <c r="CD38">
        <f t="shared" si="26"/>
        <v>0</v>
      </c>
      <c r="CE38">
        <f t="shared" si="26"/>
        <v>0</v>
      </c>
      <c r="CF38">
        <f t="shared" si="26"/>
        <v>0</v>
      </c>
      <c r="CG38">
        <f t="shared" si="20"/>
        <v>0</v>
      </c>
      <c r="CH38">
        <f t="shared" si="20"/>
        <v>0</v>
      </c>
      <c r="CI38">
        <f t="shared" si="20"/>
        <v>0</v>
      </c>
      <c r="CJ38">
        <f t="shared" si="20"/>
        <v>0</v>
      </c>
      <c r="CK38">
        <f t="shared" si="20"/>
        <v>0</v>
      </c>
      <c r="CL38">
        <f t="shared" si="20"/>
        <v>0</v>
      </c>
      <c r="CM38">
        <f t="shared" si="20"/>
        <v>0</v>
      </c>
      <c r="CN38">
        <f t="shared" si="20"/>
        <v>0</v>
      </c>
      <c r="CO38">
        <f t="shared" si="20"/>
        <v>0</v>
      </c>
      <c r="CP38">
        <f t="shared" si="20"/>
        <v>0</v>
      </c>
      <c r="CQ38">
        <f t="shared" si="20"/>
        <v>0</v>
      </c>
      <c r="CR38">
        <f t="shared" si="20"/>
        <v>0</v>
      </c>
      <c r="CS38">
        <f t="shared" si="20"/>
        <v>0</v>
      </c>
      <c r="CT38">
        <f t="shared" si="20"/>
        <v>0</v>
      </c>
    </row>
    <row r="39" spans="1:98" hidden="1" x14ac:dyDescent="0.25">
      <c r="A39" s="35" t="s">
        <v>45</v>
      </c>
      <c r="B39" t="s">
        <v>101</v>
      </c>
      <c r="C39" s="27"/>
      <c r="D39" s="37" t="e">
        <f>0.9-Heat_capacity_unit_investment_cost/C39</f>
        <v>#DIV/0!</v>
      </c>
      <c r="E39" s="38" t="e">
        <f>9300-Heat_capacity_fixed_operating_costs/C39</f>
        <v>#DIV/0!</v>
      </c>
      <c r="F39" s="12">
        <v>25</v>
      </c>
      <c r="G39" s="12">
        <v>5</v>
      </c>
      <c r="H39" s="12">
        <f t="shared" si="10"/>
        <v>5</v>
      </c>
      <c r="I39" s="39">
        <v>2015</v>
      </c>
      <c r="J39" s="20">
        <f>HLOOKUP($B$8,Prices!$A$28:$V$29,2,FALSE)/HLOOKUP(I39,Prices!$A$28:$V$29,2,FALSE)</f>
        <v>1.0676750402114485</v>
      </c>
      <c r="K39" s="14">
        <f t="shared" si="0"/>
        <v>8.0242587190691314E-2</v>
      </c>
      <c r="L39" s="43">
        <f t="shared" si="21"/>
        <v>0.91230769230769226</v>
      </c>
      <c r="M39" s="5">
        <v>1</v>
      </c>
      <c r="N39" s="5">
        <f t="shared" si="11"/>
        <v>0.91230769230769226</v>
      </c>
      <c r="O39" s="16" t="e">
        <f t="shared" si="1"/>
        <v>#DIV/0!</v>
      </c>
      <c r="P39" s="19" t="e">
        <f t="shared" si="2"/>
        <v>#DIV/0!</v>
      </c>
      <c r="Q39" s="6" t="e">
        <f t="shared" si="12"/>
        <v>#DIV/0!</v>
      </c>
      <c r="R39" s="34" t="e">
        <f t="shared" si="3"/>
        <v>#DIV/0!</v>
      </c>
      <c r="S39" s="37">
        <v>1.72</v>
      </c>
      <c r="T39" s="11">
        <f>WPpriceCentral</f>
        <v>40.64859060402685</v>
      </c>
      <c r="U39" s="42">
        <f t="shared" ref="U39:U42" si="27">30/(100-65/1.05)</f>
        <v>0.78749999999999998</v>
      </c>
      <c r="V39" s="6">
        <f t="shared" si="13"/>
        <v>51.61725790987537</v>
      </c>
      <c r="W39" s="26">
        <f>S39*J39+V39*HLOOKUP($B$8,Prices!$A$28:$V$29,2,FALSE)/Prices!$J$29</f>
        <v>48.750339070063099</v>
      </c>
      <c r="X39" t="s">
        <v>116</v>
      </c>
      <c r="Y39" s="29" t="s">
        <v>116</v>
      </c>
      <c r="Z39" s="29" t="s">
        <v>115</v>
      </c>
      <c r="AA39" s="29" t="s">
        <v>116</v>
      </c>
      <c r="AB39" t="s">
        <v>75</v>
      </c>
      <c r="AC39" t="e">
        <f t="shared" si="22"/>
        <v>#DIV/0!</v>
      </c>
      <c r="AD39" t="e">
        <f t="shared" si="22"/>
        <v>#DIV/0!</v>
      </c>
      <c r="AE39" t="e">
        <f t="shared" si="22"/>
        <v>#DIV/0!</v>
      </c>
      <c r="AF39" t="e">
        <f t="shared" si="22"/>
        <v>#DIV/0!</v>
      </c>
      <c r="AG39" t="e">
        <f t="shared" si="22"/>
        <v>#DIV/0!</v>
      </c>
      <c r="AH39" t="e">
        <f t="shared" si="22"/>
        <v>#DIV/0!</v>
      </c>
      <c r="AI39" t="e">
        <f t="shared" si="22"/>
        <v>#DIV/0!</v>
      </c>
      <c r="AJ39" t="e">
        <f t="shared" si="22"/>
        <v>#DIV/0!</v>
      </c>
      <c r="AK39" t="e">
        <f t="shared" si="22"/>
        <v>#DIV/0!</v>
      </c>
      <c r="AL39" t="e">
        <f t="shared" si="22"/>
        <v>#DIV/0!</v>
      </c>
      <c r="AM39" t="e">
        <f t="shared" si="23"/>
        <v>#DIV/0!</v>
      </c>
      <c r="AN39" t="e">
        <f t="shared" si="23"/>
        <v>#DIV/0!</v>
      </c>
      <c r="AO39" t="e">
        <f t="shared" si="23"/>
        <v>#DIV/0!</v>
      </c>
      <c r="AP39" t="e">
        <f t="shared" si="23"/>
        <v>#DIV/0!</v>
      </c>
      <c r="AQ39" t="e">
        <f t="shared" si="23"/>
        <v>#DIV/0!</v>
      </c>
      <c r="AR39" t="e">
        <f t="shared" si="23"/>
        <v>#DIV/0!</v>
      </c>
      <c r="AS39" t="e">
        <f t="shared" si="23"/>
        <v>#DIV/0!</v>
      </c>
      <c r="AT39" t="e">
        <f t="shared" si="23"/>
        <v>#DIV/0!</v>
      </c>
      <c r="AU39" t="e">
        <f t="shared" si="23"/>
        <v>#DIV/0!</v>
      </c>
      <c r="AV39" t="e">
        <f t="shared" si="23"/>
        <v>#DIV/0!</v>
      </c>
      <c r="AW39" t="e">
        <f t="shared" si="24"/>
        <v>#DIV/0!</v>
      </c>
      <c r="AX39" t="e">
        <f t="shared" si="24"/>
        <v>#DIV/0!</v>
      </c>
      <c r="AY39" t="e">
        <f t="shared" si="24"/>
        <v>#DIV/0!</v>
      </c>
      <c r="AZ39" t="e">
        <f t="shared" si="24"/>
        <v>#DIV/0!</v>
      </c>
      <c r="BA39" t="e">
        <f t="shared" si="24"/>
        <v>#DIV/0!</v>
      </c>
      <c r="BB39" t="e">
        <f t="shared" si="24"/>
        <v>#DIV/0!</v>
      </c>
      <c r="BC39" t="e">
        <f t="shared" si="24"/>
        <v>#DIV/0!</v>
      </c>
      <c r="BD39" t="e">
        <f t="shared" si="24"/>
        <v>#DIV/0!</v>
      </c>
      <c r="BE39" t="e">
        <f t="shared" si="24"/>
        <v>#DIV/0!</v>
      </c>
      <c r="BF39" t="e">
        <f t="shared" si="24"/>
        <v>#DIV/0!</v>
      </c>
      <c r="BG39">
        <f t="shared" si="25"/>
        <v>0</v>
      </c>
      <c r="BH39">
        <f t="shared" si="25"/>
        <v>0</v>
      </c>
      <c r="BI39">
        <f t="shared" si="25"/>
        <v>0</v>
      </c>
      <c r="BJ39">
        <f t="shared" si="25"/>
        <v>0</v>
      </c>
      <c r="BK39">
        <f t="shared" si="25"/>
        <v>0</v>
      </c>
      <c r="BL39">
        <f t="shared" si="25"/>
        <v>0</v>
      </c>
      <c r="BM39">
        <f t="shared" si="25"/>
        <v>0</v>
      </c>
      <c r="BN39">
        <f t="shared" si="25"/>
        <v>0</v>
      </c>
      <c r="BO39">
        <f t="shared" si="25"/>
        <v>0</v>
      </c>
      <c r="BP39">
        <f t="shared" si="25"/>
        <v>0</v>
      </c>
      <c r="BQ39">
        <f t="shared" si="26"/>
        <v>0</v>
      </c>
      <c r="BR39">
        <f t="shared" si="26"/>
        <v>0</v>
      </c>
      <c r="BS39">
        <f t="shared" si="26"/>
        <v>0</v>
      </c>
      <c r="BT39">
        <f t="shared" si="26"/>
        <v>0</v>
      </c>
      <c r="BU39">
        <f t="shared" si="26"/>
        <v>0</v>
      </c>
      <c r="BV39">
        <f t="shared" si="26"/>
        <v>0</v>
      </c>
      <c r="BW39">
        <f t="shared" si="26"/>
        <v>0</v>
      </c>
      <c r="BX39">
        <f t="shared" si="26"/>
        <v>0</v>
      </c>
      <c r="BY39">
        <f t="shared" si="26"/>
        <v>0</v>
      </c>
      <c r="BZ39">
        <f t="shared" si="26"/>
        <v>0</v>
      </c>
      <c r="CA39">
        <f t="shared" si="20"/>
        <v>0</v>
      </c>
      <c r="CB39">
        <f t="shared" si="20"/>
        <v>0</v>
      </c>
      <c r="CC39">
        <f t="shared" si="20"/>
        <v>0</v>
      </c>
      <c r="CD39">
        <f t="shared" si="20"/>
        <v>0</v>
      </c>
      <c r="CE39">
        <f t="shared" si="20"/>
        <v>0</v>
      </c>
      <c r="CF39">
        <f t="shared" si="20"/>
        <v>0</v>
      </c>
      <c r="CG39">
        <f t="shared" si="20"/>
        <v>0</v>
      </c>
      <c r="CH39">
        <f t="shared" si="20"/>
        <v>0</v>
      </c>
      <c r="CI39">
        <f t="shared" si="20"/>
        <v>0</v>
      </c>
      <c r="CJ39">
        <f t="shared" si="20"/>
        <v>0</v>
      </c>
      <c r="CK39">
        <f t="shared" si="20"/>
        <v>0</v>
      </c>
      <c r="CL39">
        <f t="shared" si="20"/>
        <v>0</v>
      </c>
      <c r="CM39">
        <f t="shared" si="20"/>
        <v>0</v>
      </c>
      <c r="CN39">
        <f t="shared" si="20"/>
        <v>0</v>
      </c>
      <c r="CO39">
        <f t="shared" si="20"/>
        <v>0</v>
      </c>
      <c r="CP39">
        <f t="shared" si="20"/>
        <v>0</v>
      </c>
      <c r="CQ39">
        <f t="shared" si="20"/>
        <v>0</v>
      </c>
      <c r="CR39">
        <f t="shared" si="20"/>
        <v>0</v>
      </c>
      <c r="CS39">
        <f t="shared" si="20"/>
        <v>0</v>
      </c>
      <c r="CT39">
        <f t="shared" si="20"/>
        <v>0</v>
      </c>
    </row>
    <row r="40" spans="1:98" x14ac:dyDescent="0.25">
      <c r="A40" t="s">
        <v>46</v>
      </c>
      <c r="B40" t="s">
        <v>221</v>
      </c>
      <c r="C40" s="27">
        <v>0.46</v>
      </c>
      <c r="D40" s="13">
        <f>3.03-Heat_capacity_unit_investment_cost/C40</f>
        <v>2.9213043478260867</v>
      </c>
      <c r="E40" s="25">
        <f>124414-Heat_capacity_fixed_operating_costs/C40</f>
        <v>120283.56521739131</v>
      </c>
      <c r="F40" s="12">
        <v>25</v>
      </c>
      <c r="G40" s="12">
        <v>2.5</v>
      </c>
      <c r="H40" s="12">
        <f t="shared" si="10"/>
        <v>3</v>
      </c>
      <c r="I40" s="23">
        <v>2020</v>
      </c>
      <c r="J40" s="20">
        <f>HLOOKUP($B$8,Prices!$A$28:$V$29,2,FALSE)/HLOOKUP(I40,Prices!$A$28:$V$29,2,FALSE)</f>
        <v>1</v>
      </c>
      <c r="K40" s="14">
        <f t="shared" si="0"/>
        <v>7.5031285885037005E-2</v>
      </c>
      <c r="L40" s="24">
        <f t="shared" si="21"/>
        <v>0.91230769230769226</v>
      </c>
      <c r="M40" s="5">
        <v>1</v>
      </c>
      <c r="N40" s="5">
        <f t="shared" si="11"/>
        <v>0.91230769230769226</v>
      </c>
      <c r="O40" s="16">
        <f t="shared" si="1"/>
        <v>329945.66787541093</v>
      </c>
      <c r="P40" s="19">
        <f t="shared" si="2"/>
        <v>327557.28721457557</v>
      </c>
      <c r="Q40" s="6">
        <f t="shared" si="12"/>
        <v>361660.51284825819</v>
      </c>
      <c r="R40" s="34">
        <f t="shared" si="3"/>
        <v>15.484889774250135</v>
      </c>
      <c r="S40" s="13">
        <v>1.9670000000000001</v>
      </c>
      <c r="T40" s="11">
        <f>WPPriceSmall</f>
        <v>43.122684563758391</v>
      </c>
      <c r="U40" s="22">
        <f>29/(100-29/C40/1.05)</f>
        <v>0.72575129533678751</v>
      </c>
      <c r="V40" s="6">
        <f t="shared" si="13"/>
        <v>59.417991866962019</v>
      </c>
      <c r="W40" s="26">
        <f>S40*J40+V40*HLOOKUP($B$8,Prices!$A$28:$V$29,2,FALSE)/Prices!$J$29</f>
        <v>55.970875824858432</v>
      </c>
      <c r="X40" t="s">
        <v>116</v>
      </c>
      <c r="Y40" s="29" t="s">
        <v>116</v>
      </c>
      <c r="Z40" s="29" t="s">
        <v>115</v>
      </c>
      <c r="AA40" s="29" t="s">
        <v>116</v>
      </c>
      <c r="AB40" t="s">
        <v>75</v>
      </c>
      <c r="AC40">
        <f t="shared" si="22"/>
        <v>927398.20565907517</v>
      </c>
      <c r="AD40">
        <f t="shared" si="22"/>
        <v>883236.38634197635</v>
      </c>
      <c r="AE40">
        <f t="shared" si="22"/>
        <v>841177.51080188213</v>
      </c>
      <c r="AF40">
        <f t="shared" si="22"/>
        <v>98957.586781138569</v>
      </c>
      <c r="AG40">
        <f t="shared" si="22"/>
        <v>94245.320743941484</v>
      </c>
      <c r="AH40">
        <f t="shared" si="22"/>
        <v>89757.448327563325</v>
      </c>
      <c r="AI40">
        <f t="shared" si="22"/>
        <v>85483.284121488861</v>
      </c>
      <c r="AJ40">
        <f t="shared" si="22"/>
        <v>81412.651544275126</v>
      </c>
      <c r="AK40">
        <f t="shared" si="22"/>
        <v>77535.858613595352</v>
      </c>
      <c r="AL40">
        <f t="shared" si="22"/>
        <v>73843.674870090807</v>
      </c>
      <c r="AM40">
        <f t="shared" si="23"/>
        <v>70327.30940008648</v>
      </c>
      <c r="AN40">
        <f t="shared" si="23"/>
        <v>66978.389904844284</v>
      </c>
      <c r="AO40">
        <f t="shared" si="23"/>
        <v>63788.942766518347</v>
      </c>
      <c r="AP40">
        <f t="shared" si="23"/>
        <v>60751.374063350821</v>
      </c>
      <c r="AQ40">
        <f t="shared" si="23"/>
        <v>57858.451488905528</v>
      </c>
      <c r="AR40">
        <f t="shared" si="23"/>
        <v>55103.287132290985</v>
      </c>
      <c r="AS40">
        <f t="shared" si="23"/>
        <v>52479.321078372355</v>
      </c>
      <c r="AT40">
        <f t="shared" si="23"/>
        <v>49980.305788926053</v>
      </c>
      <c r="AU40">
        <f t="shared" si="23"/>
        <v>47600.291227548623</v>
      </c>
      <c r="AV40">
        <f t="shared" si="23"/>
        <v>45333.61069290345</v>
      </c>
      <c r="AW40">
        <f t="shared" si="24"/>
        <v>43174.86732657472</v>
      </c>
      <c r="AX40">
        <f t="shared" si="24"/>
        <v>41118.921263404496</v>
      </c>
      <c r="AY40">
        <f t="shared" si="24"/>
        <v>39160.877393718562</v>
      </c>
      <c r="AZ40">
        <f t="shared" si="24"/>
        <v>37296.073708303396</v>
      </c>
      <c r="BA40">
        <f t="shared" si="24"/>
        <v>35520.070198384186</v>
      </c>
      <c r="BB40">
        <f t="shared" si="24"/>
        <v>33828.638284175417</v>
      </c>
      <c r="BC40">
        <f t="shared" si="24"/>
        <v>32217.750746833724</v>
      </c>
      <c r="BD40">
        <f t="shared" si="24"/>
        <v>30683.572139841646</v>
      </c>
      <c r="BE40">
        <f t="shared" si="24"/>
        <v>0</v>
      </c>
      <c r="BF40">
        <f t="shared" si="24"/>
        <v>0</v>
      </c>
      <c r="BG40">
        <f t="shared" si="25"/>
        <v>0</v>
      </c>
      <c r="BH40">
        <f t="shared" si="25"/>
        <v>0</v>
      </c>
      <c r="BI40">
        <f t="shared" si="25"/>
        <v>0</v>
      </c>
      <c r="BJ40">
        <f t="shared" si="25"/>
        <v>0</v>
      </c>
      <c r="BK40">
        <f t="shared" si="25"/>
        <v>0</v>
      </c>
      <c r="BL40">
        <f t="shared" si="25"/>
        <v>0</v>
      </c>
      <c r="BM40">
        <f t="shared" si="25"/>
        <v>0</v>
      </c>
      <c r="BN40">
        <f t="shared" si="25"/>
        <v>0</v>
      </c>
      <c r="BO40">
        <f t="shared" si="25"/>
        <v>0</v>
      </c>
      <c r="BP40">
        <f t="shared" si="25"/>
        <v>0</v>
      </c>
      <c r="BQ40">
        <f t="shared" si="26"/>
        <v>0</v>
      </c>
      <c r="BR40">
        <f t="shared" si="26"/>
        <v>0</v>
      </c>
      <c r="BS40">
        <f t="shared" si="26"/>
        <v>0</v>
      </c>
      <c r="BT40">
        <f t="shared" si="26"/>
        <v>0</v>
      </c>
      <c r="BU40">
        <f t="shared" si="26"/>
        <v>0</v>
      </c>
      <c r="BV40">
        <f t="shared" si="26"/>
        <v>0</v>
      </c>
      <c r="BW40">
        <f t="shared" si="26"/>
        <v>0</v>
      </c>
      <c r="BX40">
        <f t="shared" si="26"/>
        <v>0</v>
      </c>
      <c r="BY40">
        <f t="shared" si="26"/>
        <v>0</v>
      </c>
      <c r="BZ40">
        <f t="shared" si="26"/>
        <v>0</v>
      </c>
      <c r="CA40">
        <f t="shared" si="20"/>
        <v>0</v>
      </c>
      <c r="CB40">
        <f t="shared" si="20"/>
        <v>0</v>
      </c>
      <c r="CC40">
        <f t="shared" si="20"/>
        <v>0</v>
      </c>
      <c r="CD40">
        <f t="shared" si="20"/>
        <v>0</v>
      </c>
      <c r="CE40">
        <f t="shared" si="20"/>
        <v>0</v>
      </c>
      <c r="CF40">
        <f t="shared" si="20"/>
        <v>0</v>
      </c>
      <c r="CG40">
        <f t="shared" si="20"/>
        <v>0</v>
      </c>
      <c r="CH40">
        <f t="shared" si="20"/>
        <v>0</v>
      </c>
      <c r="CI40">
        <f t="shared" si="20"/>
        <v>0</v>
      </c>
      <c r="CJ40">
        <f t="shared" si="20"/>
        <v>0</v>
      </c>
      <c r="CK40">
        <f t="shared" si="20"/>
        <v>0</v>
      </c>
      <c r="CL40">
        <f t="shared" si="20"/>
        <v>0</v>
      </c>
      <c r="CM40">
        <f t="shared" si="20"/>
        <v>0</v>
      </c>
      <c r="CN40">
        <f t="shared" si="20"/>
        <v>0</v>
      </c>
      <c r="CO40">
        <f t="shared" si="20"/>
        <v>0</v>
      </c>
      <c r="CP40">
        <f t="shared" si="20"/>
        <v>0</v>
      </c>
      <c r="CQ40">
        <f t="shared" si="20"/>
        <v>0</v>
      </c>
      <c r="CR40">
        <f t="shared" si="20"/>
        <v>0</v>
      </c>
      <c r="CS40">
        <f t="shared" si="20"/>
        <v>0</v>
      </c>
      <c r="CT40">
        <f t="shared" si="20"/>
        <v>0</v>
      </c>
    </row>
    <row r="41" spans="1:98" x14ac:dyDescent="0.25">
      <c r="A41" t="s">
        <v>47</v>
      </c>
      <c r="B41" t="s">
        <v>222</v>
      </c>
      <c r="C41" s="27">
        <v>0.19</v>
      </c>
      <c r="D41" s="13">
        <f>6.11-Heat_capacity_unit_investment_cost/C41</f>
        <v>5.8468421052631578</v>
      </c>
      <c r="E41" s="25">
        <f>277540-Heat_capacity_fixed_operating_costs/C41</f>
        <v>267540</v>
      </c>
      <c r="F41" s="12">
        <v>25</v>
      </c>
      <c r="G41" s="12">
        <v>1</v>
      </c>
      <c r="H41" s="12">
        <f t="shared" si="10"/>
        <v>1</v>
      </c>
      <c r="I41" s="23">
        <v>2020</v>
      </c>
      <c r="J41" s="20">
        <f>HLOOKUP($B$8,Prices!$A$28:$V$29,2,FALSE)/HLOOKUP(I41,Prices!$A$28:$V$29,2,FALSE)</f>
        <v>1</v>
      </c>
      <c r="K41" s="14">
        <f t="shared" si="0"/>
        <v>7.2470900752687001E-2</v>
      </c>
      <c r="L41" s="24">
        <f t="shared" si="21"/>
        <v>0.91230769230769226</v>
      </c>
      <c r="M41" s="5">
        <v>1</v>
      </c>
      <c r="N41" s="5">
        <f t="shared" si="11"/>
        <v>0.91230769230769226</v>
      </c>
      <c r="O41" s="16">
        <f t="shared" si="1"/>
        <v>682387.81480902201</v>
      </c>
      <c r="P41" s="19">
        <f t="shared" si="2"/>
        <v>682387.81480902201</v>
      </c>
      <c r="Q41" s="6">
        <f t="shared" si="12"/>
        <v>747979.89818864141</v>
      </c>
      <c r="R41" s="34">
        <f t="shared" si="3"/>
        <v>32.025576100605626</v>
      </c>
      <c r="S41" s="13">
        <v>3.99</v>
      </c>
      <c r="T41" s="11">
        <f>WPPriceSmall</f>
        <v>43.122684563758391</v>
      </c>
      <c r="U41" s="22">
        <f>15/(100-15/C41/1.05)</f>
        <v>0.60454545454545439</v>
      </c>
      <c r="V41" s="6">
        <f t="shared" si="13"/>
        <v>71.330756421254506</v>
      </c>
      <c r="W41" s="26">
        <f>S41*J41+V41*HLOOKUP($B$8,Prices!$A$28:$V$29,2,FALSE)/Prices!$J$29</f>
        <v>68.821159573545629</v>
      </c>
      <c r="X41" t="s">
        <v>116</v>
      </c>
      <c r="Y41" s="29" t="s">
        <v>116</v>
      </c>
      <c r="Z41" s="29" t="s">
        <v>115</v>
      </c>
      <c r="AA41" s="29" t="s">
        <v>116</v>
      </c>
      <c r="AB41" t="s">
        <v>75</v>
      </c>
      <c r="AC41">
        <f t="shared" si="22"/>
        <v>5568421.0526315784</v>
      </c>
      <c r="AD41">
        <f t="shared" si="22"/>
        <v>242666.66666666666</v>
      </c>
      <c r="AE41">
        <f t="shared" si="22"/>
        <v>231111.11111111109</v>
      </c>
      <c r="AF41">
        <f t="shared" si="22"/>
        <v>220105.82010582011</v>
      </c>
      <c r="AG41">
        <f t="shared" si="22"/>
        <v>209624.5905769715</v>
      </c>
      <c r="AH41">
        <f t="shared" si="22"/>
        <v>199642.46721616338</v>
      </c>
      <c r="AI41">
        <f t="shared" si="22"/>
        <v>190135.68306301269</v>
      </c>
      <c r="AJ41">
        <f t="shared" si="22"/>
        <v>181081.60291715496</v>
      </c>
      <c r="AK41">
        <f t="shared" si="22"/>
        <v>172458.66944490949</v>
      </c>
      <c r="AL41">
        <f t="shared" si="22"/>
        <v>164246.35185229476</v>
      </c>
      <c r="AM41">
        <f t="shared" si="23"/>
        <v>156425.09700218547</v>
      </c>
      <c r="AN41">
        <f t="shared" si="23"/>
        <v>148976.28285922427</v>
      </c>
      <c r="AO41">
        <f t="shared" si="23"/>
        <v>141882.17415164213</v>
      </c>
      <c r="AP41">
        <f t="shared" si="23"/>
        <v>135125.88014442113</v>
      </c>
      <c r="AQ41">
        <f t="shared" si="23"/>
        <v>128691.31442325817</v>
      </c>
      <c r="AR41">
        <f t="shared" si="23"/>
        <v>122563.15659357922</v>
      </c>
      <c r="AS41">
        <f t="shared" si="23"/>
        <v>116726.81580340875</v>
      </c>
      <c r="AT41">
        <f t="shared" si="23"/>
        <v>111168.39600324644</v>
      </c>
      <c r="AU41">
        <f t="shared" si="23"/>
        <v>105874.6628602347</v>
      </c>
      <c r="AV41">
        <f t="shared" si="23"/>
        <v>100833.01224784258</v>
      </c>
      <c r="AW41">
        <f t="shared" si="24"/>
        <v>96031.440236040551</v>
      </c>
      <c r="AX41">
        <f t="shared" si="24"/>
        <v>91458.514510514826</v>
      </c>
      <c r="AY41">
        <f t="shared" si="24"/>
        <v>87103.34715287124</v>
      </c>
      <c r="AZ41">
        <f t="shared" si="24"/>
        <v>82955.568717020244</v>
      </c>
      <c r="BA41">
        <f t="shared" si="24"/>
        <v>79005.303540019275</v>
      </c>
      <c r="BB41">
        <f t="shared" si="24"/>
        <v>75243.146228589787</v>
      </c>
      <c r="BC41">
        <f t="shared" si="24"/>
        <v>0</v>
      </c>
      <c r="BD41">
        <f t="shared" si="24"/>
        <v>0</v>
      </c>
      <c r="BE41">
        <f t="shared" si="24"/>
        <v>0</v>
      </c>
      <c r="BF41">
        <f t="shared" si="24"/>
        <v>0</v>
      </c>
      <c r="BG41">
        <f t="shared" si="25"/>
        <v>0</v>
      </c>
      <c r="BH41">
        <f t="shared" si="25"/>
        <v>0</v>
      </c>
      <c r="BI41">
        <f t="shared" si="25"/>
        <v>0</v>
      </c>
      <c r="BJ41">
        <f t="shared" si="25"/>
        <v>0</v>
      </c>
      <c r="BK41">
        <f t="shared" si="25"/>
        <v>0</v>
      </c>
      <c r="BL41">
        <f t="shared" si="25"/>
        <v>0</v>
      </c>
      <c r="BM41">
        <f t="shared" si="25"/>
        <v>0</v>
      </c>
      <c r="BN41">
        <f t="shared" si="25"/>
        <v>0</v>
      </c>
      <c r="BO41">
        <f t="shared" si="25"/>
        <v>0</v>
      </c>
      <c r="BP41">
        <f t="shared" si="25"/>
        <v>0</v>
      </c>
      <c r="BQ41">
        <f t="shared" si="26"/>
        <v>0</v>
      </c>
      <c r="BR41">
        <f t="shared" si="26"/>
        <v>0</v>
      </c>
      <c r="BS41">
        <f t="shared" si="26"/>
        <v>0</v>
      </c>
      <c r="BT41">
        <f t="shared" si="26"/>
        <v>0</v>
      </c>
      <c r="BU41">
        <f t="shared" si="26"/>
        <v>0</v>
      </c>
      <c r="BV41">
        <f t="shared" si="26"/>
        <v>0</v>
      </c>
      <c r="BW41">
        <f t="shared" si="26"/>
        <v>0</v>
      </c>
      <c r="BX41">
        <f t="shared" si="26"/>
        <v>0</v>
      </c>
      <c r="BY41">
        <f t="shared" si="26"/>
        <v>0</v>
      </c>
      <c r="BZ41">
        <f t="shared" si="26"/>
        <v>0</v>
      </c>
      <c r="CA41">
        <f t="shared" si="20"/>
        <v>0</v>
      </c>
      <c r="CB41">
        <f t="shared" si="20"/>
        <v>0</v>
      </c>
      <c r="CC41">
        <f t="shared" si="20"/>
        <v>0</v>
      </c>
      <c r="CD41">
        <f t="shared" si="20"/>
        <v>0</v>
      </c>
      <c r="CE41">
        <f t="shared" si="20"/>
        <v>0</v>
      </c>
      <c r="CF41">
        <f t="shared" si="20"/>
        <v>0</v>
      </c>
      <c r="CG41">
        <f t="shared" si="20"/>
        <v>0</v>
      </c>
      <c r="CH41">
        <f t="shared" si="20"/>
        <v>0</v>
      </c>
      <c r="CI41">
        <f t="shared" si="20"/>
        <v>0</v>
      </c>
      <c r="CJ41">
        <f t="shared" si="20"/>
        <v>0</v>
      </c>
      <c r="CK41">
        <f t="shared" si="20"/>
        <v>0</v>
      </c>
      <c r="CL41">
        <f t="shared" si="20"/>
        <v>0</v>
      </c>
      <c r="CM41">
        <f t="shared" si="20"/>
        <v>0</v>
      </c>
      <c r="CN41">
        <f t="shared" si="20"/>
        <v>0</v>
      </c>
      <c r="CO41">
        <f t="shared" si="20"/>
        <v>0</v>
      </c>
      <c r="CP41">
        <f t="shared" si="20"/>
        <v>0</v>
      </c>
      <c r="CQ41">
        <f t="shared" si="20"/>
        <v>0</v>
      </c>
      <c r="CR41">
        <f t="shared" si="20"/>
        <v>0</v>
      </c>
      <c r="CS41">
        <f t="shared" si="20"/>
        <v>0</v>
      </c>
      <c r="CT41">
        <f t="shared" si="20"/>
        <v>0</v>
      </c>
    </row>
    <row r="42" spans="1:98" hidden="1" x14ac:dyDescent="0.25">
      <c r="A42" s="35" t="s">
        <v>48</v>
      </c>
      <c r="B42" t="s">
        <v>101</v>
      </c>
      <c r="C42" s="27"/>
      <c r="D42" s="37" t="e">
        <f>0.9-Heat_capacity_unit_investment_cost/C42</f>
        <v>#DIV/0!</v>
      </c>
      <c r="E42" s="38" t="e">
        <f>9300-Heat_capacity_fixed_operating_costs/C42</f>
        <v>#DIV/0!</v>
      </c>
      <c r="F42" s="12">
        <v>25</v>
      </c>
      <c r="G42" s="12">
        <v>3</v>
      </c>
      <c r="H42" s="12">
        <f t="shared" si="10"/>
        <v>3</v>
      </c>
      <c r="I42" s="39">
        <v>2015</v>
      </c>
      <c r="J42" s="20">
        <f>HLOOKUP($B$8,Prices!$A$28:$V$29,2,FALSE)/HLOOKUP(I42,Prices!$A$28:$V$29,2,FALSE)</f>
        <v>1.0676750402114485</v>
      </c>
      <c r="K42" s="14">
        <f t="shared" si="0"/>
        <v>7.5970508556385485E-2</v>
      </c>
      <c r="L42" s="43">
        <f t="shared" si="21"/>
        <v>0.91230769230769226</v>
      </c>
      <c r="M42" s="5">
        <v>1</v>
      </c>
      <c r="N42" s="5">
        <f t="shared" si="11"/>
        <v>0.91230769230769226</v>
      </c>
      <c r="O42" s="16" t="e">
        <f t="shared" si="1"/>
        <v>#DIV/0!</v>
      </c>
      <c r="P42" s="19" t="e">
        <f t="shared" si="2"/>
        <v>#DIV/0!</v>
      </c>
      <c r="Q42" s="6" t="e">
        <f t="shared" si="12"/>
        <v>#DIV/0!</v>
      </c>
      <c r="R42" s="34" t="e">
        <f t="shared" si="3"/>
        <v>#DIV/0!</v>
      </c>
      <c r="S42" s="37">
        <v>2.1</v>
      </c>
      <c r="T42" s="11">
        <f>StrawPriceCentral</f>
        <v>26.06013422818792</v>
      </c>
      <c r="U42" s="42">
        <f t="shared" si="27"/>
        <v>0.78749999999999998</v>
      </c>
      <c r="V42" s="6">
        <f t="shared" si="13"/>
        <v>33.092233940556092</v>
      </c>
      <c r="W42" s="26">
        <f>S42*J42+V42*HLOOKUP($B$8,Prices!$A$28:$V$29,2,FALSE)/Prices!$J$29</f>
        <v>32.31901578212004</v>
      </c>
      <c r="X42" t="s">
        <v>116</v>
      </c>
      <c r="Y42" s="29" t="s">
        <v>116</v>
      </c>
      <c r="Z42" s="29" t="s">
        <v>115</v>
      </c>
      <c r="AA42" s="29" t="s">
        <v>116</v>
      </c>
      <c r="AB42" t="s">
        <v>75</v>
      </c>
      <c r="AC42" t="e">
        <f t="shared" si="22"/>
        <v>#DIV/0!</v>
      </c>
      <c r="AD42" t="e">
        <f t="shared" si="22"/>
        <v>#DIV/0!</v>
      </c>
      <c r="AE42" t="e">
        <f t="shared" si="22"/>
        <v>#DIV/0!</v>
      </c>
      <c r="AF42" t="e">
        <f t="shared" si="22"/>
        <v>#DIV/0!</v>
      </c>
      <c r="AG42" t="e">
        <f t="shared" si="22"/>
        <v>#DIV/0!</v>
      </c>
      <c r="AH42" t="e">
        <f t="shared" si="22"/>
        <v>#DIV/0!</v>
      </c>
      <c r="AI42" t="e">
        <f t="shared" si="22"/>
        <v>#DIV/0!</v>
      </c>
      <c r="AJ42" t="e">
        <f t="shared" si="22"/>
        <v>#DIV/0!</v>
      </c>
      <c r="AK42" t="e">
        <f t="shared" si="22"/>
        <v>#DIV/0!</v>
      </c>
      <c r="AL42" t="e">
        <f t="shared" si="22"/>
        <v>#DIV/0!</v>
      </c>
      <c r="AM42" t="e">
        <f t="shared" si="23"/>
        <v>#DIV/0!</v>
      </c>
      <c r="AN42" t="e">
        <f t="shared" si="23"/>
        <v>#DIV/0!</v>
      </c>
      <c r="AO42" t="e">
        <f t="shared" si="23"/>
        <v>#DIV/0!</v>
      </c>
      <c r="AP42" t="e">
        <f t="shared" si="23"/>
        <v>#DIV/0!</v>
      </c>
      <c r="AQ42" t="e">
        <f t="shared" si="23"/>
        <v>#DIV/0!</v>
      </c>
      <c r="AR42" t="e">
        <f t="shared" si="23"/>
        <v>#DIV/0!</v>
      </c>
      <c r="AS42" t="e">
        <f t="shared" si="23"/>
        <v>#DIV/0!</v>
      </c>
      <c r="AT42" t="e">
        <f t="shared" si="23"/>
        <v>#DIV/0!</v>
      </c>
      <c r="AU42" t="e">
        <f t="shared" si="23"/>
        <v>#DIV/0!</v>
      </c>
      <c r="AV42" t="e">
        <f t="shared" si="23"/>
        <v>#DIV/0!</v>
      </c>
      <c r="AW42" t="e">
        <f t="shared" si="24"/>
        <v>#DIV/0!</v>
      </c>
      <c r="AX42" t="e">
        <f t="shared" si="24"/>
        <v>#DIV/0!</v>
      </c>
      <c r="AY42" t="e">
        <f t="shared" si="24"/>
        <v>#DIV/0!</v>
      </c>
      <c r="AZ42" t="e">
        <f t="shared" si="24"/>
        <v>#DIV/0!</v>
      </c>
      <c r="BA42" t="e">
        <f t="shared" si="24"/>
        <v>#DIV/0!</v>
      </c>
      <c r="BB42" t="e">
        <f t="shared" si="24"/>
        <v>#DIV/0!</v>
      </c>
      <c r="BC42" t="e">
        <f t="shared" si="24"/>
        <v>#DIV/0!</v>
      </c>
      <c r="BD42" t="e">
        <f t="shared" si="24"/>
        <v>#DIV/0!</v>
      </c>
      <c r="BE42">
        <f t="shared" si="24"/>
        <v>0</v>
      </c>
      <c r="BF42">
        <f t="shared" si="24"/>
        <v>0</v>
      </c>
      <c r="BG42">
        <f t="shared" si="25"/>
        <v>0</v>
      </c>
      <c r="BH42">
        <f t="shared" si="25"/>
        <v>0</v>
      </c>
      <c r="BI42">
        <f t="shared" si="25"/>
        <v>0</v>
      </c>
      <c r="BJ42">
        <f t="shared" si="25"/>
        <v>0</v>
      </c>
      <c r="BK42">
        <f t="shared" si="25"/>
        <v>0</v>
      </c>
      <c r="BL42">
        <f t="shared" si="25"/>
        <v>0</v>
      </c>
      <c r="BM42">
        <f t="shared" si="25"/>
        <v>0</v>
      </c>
      <c r="BN42">
        <f t="shared" si="25"/>
        <v>0</v>
      </c>
      <c r="BO42">
        <f t="shared" si="25"/>
        <v>0</v>
      </c>
      <c r="BP42">
        <f t="shared" si="25"/>
        <v>0</v>
      </c>
      <c r="BQ42">
        <f t="shared" si="26"/>
        <v>0</v>
      </c>
      <c r="BR42">
        <f t="shared" si="26"/>
        <v>0</v>
      </c>
      <c r="BS42">
        <f t="shared" si="26"/>
        <v>0</v>
      </c>
      <c r="BT42">
        <f t="shared" si="26"/>
        <v>0</v>
      </c>
      <c r="BU42">
        <f t="shared" si="26"/>
        <v>0</v>
      </c>
      <c r="BV42">
        <f t="shared" si="26"/>
        <v>0</v>
      </c>
      <c r="BW42">
        <f t="shared" si="26"/>
        <v>0</v>
      </c>
      <c r="BX42">
        <f t="shared" si="26"/>
        <v>0</v>
      </c>
      <c r="BY42">
        <f t="shared" si="26"/>
        <v>0</v>
      </c>
      <c r="BZ42">
        <f t="shared" si="26"/>
        <v>0</v>
      </c>
      <c r="CA42">
        <f t="shared" si="20"/>
        <v>0</v>
      </c>
      <c r="CB42">
        <f t="shared" si="20"/>
        <v>0</v>
      </c>
      <c r="CC42">
        <f t="shared" si="20"/>
        <v>0</v>
      </c>
      <c r="CD42">
        <f t="shared" si="20"/>
        <v>0</v>
      </c>
      <c r="CE42">
        <f t="shared" si="20"/>
        <v>0</v>
      </c>
      <c r="CF42">
        <f t="shared" si="20"/>
        <v>0</v>
      </c>
      <c r="CG42">
        <f t="shared" si="20"/>
        <v>0</v>
      </c>
      <c r="CH42">
        <f t="shared" si="20"/>
        <v>0</v>
      </c>
      <c r="CI42">
        <f t="shared" si="20"/>
        <v>0</v>
      </c>
      <c r="CJ42">
        <f t="shared" si="20"/>
        <v>0</v>
      </c>
      <c r="CK42">
        <f t="shared" si="20"/>
        <v>0</v>
      </c>
      <c r="CL42">
        <f t="shared" si="20"/>
        <v>0</v>
      </c>
      <c r="CM42">
        <f t="shared" si="20"/>
        <v>0</v>
      </c>
      <c r="CN42">
        <f t="shared" si="20"/>
        <v>0</v>
      </c>
      <c r="CO42">
        <f t="shared" si="20"/>
        <v>0</v>
      </c>
      <c r="CP42">
        <f t="shared" si="20"/>
        <v>0</v>
      </c>
      <c r="CQ42">
        <f t="shared" si="20"/>
        <v>0</v>
      </c>
      <c r="CR42">
        <f t="shared" si="20"/>
        <v>0</v>
      </c>
      <c r="CS42">
        <f t="shared" si="20"/>
        <v>0</v>
      </c>
      <c r="CT42">
        <f t="shared" si="20"/>
        <v>0</v>
      </c>
    </row>
    <row r="43" spans="1:98" x14ac:dyDescent="0.25">
      <c r="A43" t="s">
        <v>49</v>
      </c>
      <c r="B43" t="s">
        <v>223</v>
      </c>
      <c r="C43" s="27">
        <v>0.43</v>
      </c>
      <c r="D43" s="13">
        <f>3.42-Heat_capacity_unit_investment_cost/C43</f>
        <v>3.3037209302325579</v>
      </c>
      <c r="E43" s="25">
        <f>123000-Heat_capacity_fixed_operating_costs/C43</f>
        <v>118581.39534883721</v>
      </c>
      <c r="F43" s="12">
        <v>25</v>
      </c>
      <c r="G43" s="12">
        <v>3</v>
      </c>
      <c r="H43" s="12">
        <f t="shared" si="10"/>
        <v>3</v>
      </c>
      <c r="I43" s="23">
        <v>2015</v>
      </c>
      <c r="J43" s="20">
        <f>HLOOKUP($B$8,Prices!$A$28:$V$29,2,FALSE)/HLOOKUP(I43,Prices!$A$28:$V$29,2,FALSE)</f>
        <v>1.0676750402114485</v>
      </c>
      <c r="K43" s="14">
        <f t="shared" si="0"/>
        <v>7.5970508556385485E-2</v>
      </c>
      <c r="L43" s="24">
        <f t="shared" si="21"/>
        <v>0.91230769230769226</v>
      </c>
      <c r="M43" s="5">
        <v>1</v>
      </c>
      <c r="N43" s="5">
        <f t="shared" si="11"/>
        <v>0.91230769230769226</v>
      </c>
      <c r="O43" s="16">
        <f t="shared" si="1"/>
        <v>389599.11575739208</v>
      </c>
      <c r="P43" s="19">
        <f t="shared" si="2"/>
        <v>376877.02543042193</v>
      </c>
      <c r="Q43" s="6">
        <f t="shared" si="12"/>
        <v>427047.93464132358</v>
      </c>
      <c r="R43" s="34">
        <f t="shared" si="3"/>
        <v>18.284523638378509</v>
      </c>
      <c r="S43" s="13">
        <v>2.14</v>
      </c>
      <c r="T43" s="11">
        <f>StrawPriceCentral</f>
        <v>26.06013422818792</v>
      </c>
      <c r="U43" s="22">
        <f>28/(100-28/C43/1.05)</f>
        <v>0.7371428571428571</v>
      </c>
      <c r="V43" s="6">
        <f t="shared" si="13"/>
        <v>35.352895270797568</v>
      </c>
      <c r="W43" s="26">
        <f>S43*J43+V43*HLOOKUP($B$8,Prices!$A$28:$V$29,2,FALSE)/Prices!$J$29</f>
        <v>34.416394608279042</v>
      </c>
      <c r="X43" t="s">
        <v>116</v>
      </c>
      <c r="Y43" s="29" t="s">
        <v>116</v>
      </c>
      <c r="Z43" s="29" t="s">
        <v>115</v>
      </c>
      <c r="AA43" s="29" t="s">
        <v>116</v>
      </c>
      <c r="AB43" t="s">
        <v>75</v>
      </c>
      <c r="AC43">
        <f t="shared" si="22"/>
        <v>1048800.2953119231</v>
      </c>
      <c r="AD43">
        <f t="shared" si="22"/>
        <v>998857.42410659348</v>
      </c>
      <c r="AE43">
        <f t="shared" si="22"/>
        <v>951292.78486342228</v>
      </c>
      <c r="AF43">
        <f t="shared" si="22"/>
        <v>97557.207417762926</v>
      </c>
      <c r="AG43">
        <f t="shared" si="22"/>
        <v>92911.626112155165</v>
      </c>
      <c r="AH43">
        <f t="shared" si="22"/>
        <v>88487.262963957313</v>
      </c>
      <c r="AI43">
        <f t="shared" si="22"/>
        <v>84273.583775197418</v>
      </c>
      <c r="AJ43">
        <f t="shared" si="22"/>
        <v>80260.555976378513</v>
      </c>
      <c r="AK43">
        <f t="shared" si="22"/>
        <v>76438.6247394081</v>
      </c>
      <c r="AL43">
        <f t="shared" si="22"/>
        <v>72798.690228007719</v>
      </c>
      <c r="AM43">
        <f t="shared" si="23"/>
        <v>69332.085931435911</v>
      </c>
      <c r="AN43">
        <f t="shared" si="23"/>
        <v>66030.558029938969</v>
      </c>
      <c r="AO43">
        <f t="shared" si="23"/>
        <v>62886.245742799008</v>
      </c>
      <c r="AP43">
        <f t="shared" si="23"/>
        <v>59891.662612189546</v>
      </c>
      <c r="AQ43">
        <f t="shared" si="23"/>
        <v>57039.678678275741</v>
      </c>
      <c r="AR43">
        <f t="shared" si="23"/>
        <v>54323.503503119762</v>
      </c>
      <c r="AS43">
        <f t="shared" si="23"/>
        <v>51736.670002971194</v>
      </c>
      <c r="AT43">
        <f t="shared" si="23"/>
        <v>49273.019050448755</v>
      </c>
      <c r="AU43">
        <f t="shared" si="23"/>
        <v>46926.684809951199</v>
      </c>
      <c r="AV43">
        <f t="shared" si="23"/>
        <v>44692.08077138209</v>
      </c>
      <c r="AW43">
        <f t="shared" si="24"/>
        <v>42563.886448935329</v>
      </c>
      <c r="AX43">
        <f t="shared" si="24"/>
        <v>40537.034713271743</v>
      </c>
      <c r="AY43">
        <f t="shared" si="24"/>
        <v>38606.699726925464</v>
      </c>
      <c r="AZ43">
        <f t="shared" si="24"/>
        <v>36768.285454214732</v>
      </c>
      <c r="BA43">
        <f t="shared" si="24"/>
        <v>35017.41471829974</v>
      </c>
      <c r="BB43">
        <f t="shared" si="24"/>
        <v>33349.918779333086</v>
      </c>
      <c r="BC43">
        <f t="shared" si="24"/>
        <v>31761.82740888865</v>
      </c>
      <c r="BD43">
        <f t="shared" si="24"/>
        <v>30249.359437036816</v>
      </c>
      <c r="BE43">
        <f t="shared" si="24"/>
        <v>0</v>
      </c>
      <c r="BF43">
        <f t="shared" si="24"/>
        <v>0</v>
      </c>
      <c r="BG43">
        <f t="shared" si="25"/>
        <v>0</v>
      </c>
      <c r="BH43">
        <f t="shared" si="25"/>
        <v>0</v>
      </c>
      <c r="BI43">
        <f t="shared" si="25"/>
        <v>0</v>
      </c>
      <c r="BJ43">
        <f t="shared" si="25"/>
        <v>0</v>
      </c>
      <c r="BK43">
        <f t="shared" si="25"/>
        <v>0</v>
      </c>
      <c r="BL43">
        <f t="shared" si="25"/>
        <v>0</v>
      </c>
      <c r="BM43">
        <f t="shared" si="25"/>
        <v>0</v>
      </c>
      <c r="BN43">
        <f t="shared" si="25"/>
        <v>0</v>
      </c>
      <c r="BO43">
        <f t="shared" si="25"/>
        <v>0</v>
      </c>
      <c r="BP43">
        <f t="shared" si="25"/>
        <v>0</v>
      </c>
      <c r="BQ43">
        <f t="shared" si="26"/>
        <v>0</v>
      </c>
      <c r="BR43">
        <f t="shared" si="26"/>
        <v>0</v>
      </c>
      <c r="BS43">
        <f t="shared" si="26"/>
        <v>0</v>
      </c>
      <c r="BT43">
        <f t="shared" si="26"/>
        <v>0</v>
      </c>
      <c r="BU43">
        <f t="shared" si="26"/>
        <v>0</v>
      </c>
      <c r="BV43">
        <f t="shared" si="26"/>
        <v>0</v>
      </c>
      <c r="BW43">
        <f t="shared" si="26"/>
        <v>0</v>
      </c>
      <c r="BX43">
        <f t="shared" si="26"/>
        <v>0</v>
      </c>
      <c r="BY43">
        <f t="shared" si="26"/>
        <v>0</v>
      </c>
      <c r="BZ43">
        <f t="shared" si="26"/>
        <v>0</v>
      </c>
      <c r="CA43">
        <f t="shared" si="20"/>
        <v>0</v>
      </c>
      <c r="CB43">
        <f t="shared" si="20"/>
        <v>0</v>
      </c>
      <c r="CC43">
        <f t="shared" si="20"/>
        <v>0</v>
      </c>
      <c r="CD43">
        <f t="shared" si="20"/>
        <v>0</v>
      </c>
      <c r="CE43">
        <f t="shared" si="20"/>
        <v>0</v>
      </c>
      <c r="CF43">
        <f t="shared" si="20"/>
        <v>0</v>
      </c>
      <c r="CG43">
        <f t="shared" si="20"/>
        <v>0</v>
      </c>
      <c r="CH43">
        <f t="shared" si="20"/>
        <v>0</v>
      </c>
      <c r="CI43">
        <f t="shared" si="20"/>
        <v>0</v>
      </c>
      <c r="CJ43">
        <f t="shared" si="20"/>
        <v>0</v>
      </c>
      <c r="CK43">
        <f t="shared" si="20"/>
        <v>0</v>
      </c>
      <c r="CL43">
        <f t="shared" si="20"/>
        <v>0</v>
      </c>
      <c r="CM43">
        <f t="shared" si="20"/>
        <v>0</v>
      </c>
      <c r="CN43">
        <f t="shared" si="20"/>
        <v>0</v>
      </c>
      <c r="CO43">
        <f t="shared" si="20"/>
        <v>0</v>
      </c>
      <c r="CP43">
        <f t="shared" si="20"/>
        <v>0</v>
      </c>
      <c r="CQ43">
        <f t="shared" si="20"/>
        <v>0</v>
      </c>
      <c r="CR43">
        <f t="shared" si="20"/>
        <v>0</v>
      </c>
      <c r="CS43">
        <f t="shared" si="20"/>
        <v>0</v>
      </c>
      <c r="CT43">
        <f t="shared" si="20"/>
        <v>0</v>
      </c>
    </row>
    <row r="44" spans="1:98" x14ac:dyDescent="0.25">
      <c r="A44" t="s">
        <v>50</v>
      </c>
      <c r="B44" t="s">
        <v>224</v>
      </c>
      <c r="C44" s="27">
        <v>0.46</v>
      </c>
      <c r="D44" s="13">
        <f>3.39-Heat_capacity_unit_investment_cost/C44</f>
        <v>3.281304347826087</v>
      </c>
      <c r="E44" s="25">
        <f>134000-Heat_capacity_fixed_operating_costs/C44</f>
        <v>129869.56521739131</v>
      </c>
      <c r="F44" s="12">
        <v>25</v>
      </c>
      <c r="G44" s="12">
        <v>2.5</v>
      </c>
      <c r="H44" s="12">
        <f t="shared" si="10"/>
        <v>3</v>
      </c>
      <c r="I44" s="23">
        <v>2015</v>
      </c>
      <c r="J44" s="20">
        <f>HLOOKUP($B$8,Prices!$A$28:$V$29,2,FALSE)/HLOOKUP(I44,Prices!$A$28:$V$29,2,FALSE)</f>
        <v>1.0676750402114485</v>
      </c>
      <c r="K44" s="14">
        <f t="shared" si="0"/>
        <v>7.5031285885037005E-2</v>
      </c>
      <c r="L44" s="24">
        <f t="shared" si="21"/>
        <v>0.91230769230769226</v>
      </c>
      <c r="M44" s="5">
        <v>1</v>
      </c>
      <c r="N44" s="5">
        <f t="shared" si="11"/>
        <v>0.91230769230769226</v>
      </c>
      <c r="O44" s="16">
        <f t="shared" si="1"/>
        <v>390229.98154673289</v>
      </c>
      <c r="P44" s="19">
        <f t="shared" si="2"/>
        <v>387230.9731058621</v>
      </c>
      <c r="Q44" s="6">
        <f t="shared" si="12"/>
        <v>427739.44014397368</v>
      </c>
      <c r="R44" s="34">
        <f t="shared" si="3"/>
        <v>18.314131201566688</v>
      </c>
      <c r="S44" s="13">
        <v>2.09</v>
      </c>
      <c r="T44" s="11">
        <f>StrawPriceSmall</f>
        <v>24.431677852348994</v>
      </c>
      <c r="U44" s="22">
        <f t="shared" ref="U44:U45" si="28">28/(100-28/C44/1.05)</f>
        <v>0.66620689655172405</v>
      </c>
      <c r="V44" s="6">
        <f t="shared" si="13"/>
        <v>36.672808370503155</v>
      </c>
      <c r="W44" s="26">
        <f>S44*J44+V44*HLOOKUP($B$8,Prices!$A$28:$V$29,2,FALSE)/Prices!$J$29</f>
        <v>35.562654615615003</v>
      </c>
      <c r="X44" t="s">
        <v>116</v>
      </c>
      <c r="Y44" s="29" t="s">
        <v>116</v>
      </c>
      <c r="Z44" s="29" t="s">
        <v>115</v>
      </c>
      <c r="AA44" s="29" t="s">
        <v>116</v>
      </c>
      <c r="AB44" t="s">
        <v>75</v>
      </c>
      <c r="AC44">
        <f t="shared" si="22"/>
        <v>1041683.9199447895</v>
      </c>
      <c r="AD44">
        <f t="shared" si="22"/>
        <v>992079.92375694239</v>
      </c>
      <c r="AE44">
        <f t="shared" si="22"/>
        <v>944838.02262565936</v>
      </c>
      <c r="AF44">
        <f t="shared" si="22"/>
        <v>106844.01270449355</v>
      </c>
      <c r="AG44">
        <f t="shared" si="22"/>
        <v>101756.20257570813</v>
      </c>
      <c r="AH44">
        <f t="shared" si="22"/>
        <v>96910.669119722035</v>
      </c>
      <c r="AI44">
        <f t="shared" si="22"/>
        <v>92295.875352116214</v>
      </c>
      <c r="AJ44">
        <f t="shared" si="22"/>
        <v>87900.833668682113</v>
      </c>
      <c r="AK44">
        <f t="shared" si="22"/>
        <v>83715.079684459153</v>
      </c>
      <c r="AL44">
        <f t="shared" si="22"/>
        <v>79728.64731853253</v>
      </c>
      <c r="AM44">
        <f t="shared" si="23"/>
        <v>75932.045065269063</v>
      </c>
      <c r="AN44">
        <f t="shared" si="23"/>
        <v>72316.233395494361</v>
      </c>
      <c r="AO44">
        <f t="shared" si="23"/>
        <v>68872.60323380414</v>
      </c>
      <c r="AP44">
        <f t="shared" si="23"/>
        <v>65592.955460765865</v>
      </c>
      <c r="AQ44">
        <f t="shared" si="23"/>
        <v>62469.481391205569</v>
      </c>
      <c r="AR44">
        <f t="shared" si="23"/>
        <v>59494.744182100541</v>
      </c>
      <c r="AS44">
        <f t="shared" si="23"/>
        <v>56661.661125810038</v>
      </c>
      <c r="AT44">
        <f t="shared" si="23"/>
        <v>53963.486786485752</v>
      </c>
      <c r="AU44">
        <f t="shared" si="23"/>
        <v>51393.796939510234</v>
      </c>
      <c r="AV44">
        <f t="shared" si="23"/>
        <v>48946.473275724034</v>
      </c>
      <c r="AW44">
        <f t="shared" si="24"/>
        <v>46615.688834022891</v>
      </c>
      <c r="AX44">
        <f t="shared" si="24"/>
        <v>44395.894127640851</v>
      </c>
      <c r="AY44">
        <f t="shared" si="24"/>
        <v>42281.803931086521</v>
      </c>
      <c r="AZ44">
        <f t="shared" si="24"/>
        <v>40268.384696272879</v>
      </c>
      <c r="BA44">
        <f t="shared" si="24"/>
        <v>38350.842567878935</v>
      </c>
      <c r="BB44">
        <f t="shared" si="24"/>
        <v>36524.611969408506</v>
      </c>
      <c r="BC44">
        <f t="shared" si="24"/>
        <v>34785.344732770005</v>
      </c>
      <c r="BD44">
        <f t="shared" si="24"/>
        <v>33128.899745495248</v>
      </c>
      <c r="BE44">
        <f t="shared" si="24"/>
        <v>0</v>
      </c>
      <c r="BF44">
        <f t="shared" si="24"/>
        <v>0</v>
      </c>
      <c r="BG44">
        <f t="shared" si="25"/>
        <v>0</v>
      </c>
      <c r="BH44">
        <f t="shared" si="25"/>
        <v>0</v>
      </c>
      <c r="BI44">
        <f t="shared" si="25"/>
        <v>0</v>
      </c>
      <c r="BJ44">
        <f t="shared" si="25"/>
        <v>0</v>
      </c>
      <c r="BK44">
        <f t="shared" si="25"/>
        <v>0</v>
      </c>
      <c r="BL44">
        <f t="shared" si="25"/>
        <v>0</v>
      </c>
      <c r="BM44">
        <f t="shared" si="25"/>
        <v>0</v>
      </c>
      <c r="BN44">
        <f t="shared" si="25"/>
        <v>0</v>
      </c>
      <c r="BO44">
        <f t="shared" si="25"/>
        <v>0</v>
      </c>
      <c r="BP44">
        <f t="shared" si="25"/>
        <v>0</v>
      </c>
      <c r="BQ44">
        <f t="shared" si="26"/>
        <v>0</v>
      </c>
      <c r="BR44">
        <f t="shared" si="26"/>
        <v>0</v>
      </c>
      <c r="BS44">
        <f t="shared" si="26"/>
        <v>0</v>
      </c>
      <c r="BT44">
        <f t="shared" si="26"/>
        <v>0</v>
      </c>
      <c r="BU44">
        <f t="shared" si="26"/>
        <v>0</v>
      </c>
      <c r="BV44">
        <f t="shared" si="26"/>
        <v>0</v>
      </c>
      <c r="BW44">
        <f t="shared" si="26"/>
        <v>0</v>
      </c>
      <c r="BX44">
        <f t="shared" si="26"/>
        <v>0</v>
      </c>
      <c r="BY44">
        <f t="shared" si="26"/>
        <v>0</v>
      </c>
      <c r="BZ44">
        <f t="shared" si="26"/>
        <v>0</v>
      </c>
      <c r="CA44">
        <f t="shared" si="20"/>
        <v>0</v>
      </c>
      <c r="CB44">
        <f t="shared" si="20"/>
        <v>0</v>
      </c>
      <c r="CC44">
        <f t="shared" si="20"/>
        <v>0</v>
      </c>
      <c r="CD44">
        <f t="shared" si="20"/>
        <v>0</v>
      </c>
      <c r="CE44">
        <f t="shared" si="20"/>
        <v>0</v>
      </c>
      <c r="CF44">
        <f t="shared" si="20"/>
        <v>0</v>
      </c>
      <c r="CG44">
        <f t="shared" si="20"/>
        <v>0</v>
      </c>
      <c r="CH44">
        <f t="shared" si="20"/>
        <v>0</v>
      </c>
      <c r="CI44">
        <f t="shared" ref="CA44:CT56" si="29">IF(CI$17&lt;=$H44,1000000*$D44/$H44,IF(CI$17&lt;=($H44+$F44),$E44,0))/(1+WACC)^CI$17</f>
        <v>0</v>
      </c>
      <c r="CJ44">
        <f t="shared" si="29"/>
        <v>0</v>
      </c>
      <c r="CK44">
        <f t="shared" si="29"/>
        <v>0</v>
      </c>
      <c r="CL44">
        <f t="shared" si="29"/>
        <v>0</v>
      </c>
      <c r="CM44">
        <f t="shared" si="29"/>
        <v>0</v>
      </c>
      <c r="CN44">
        <f t="shared" si="29"/>
        <v>0</v>
      </c>
      <c r="CO44">
        <f t="shared" si="29"/>
        <v>0</v>
      </c>
      <c r="CP44">
        <f t="shared" si="29"/>
        <v>0</v>
      </c>
      <c r="CQ44">
        <f t="shared" si="29"/>
        <v>0</v>
      </c>
      <c r="CR44">
        <f t="shared" si="29"/>
        <v>0</v>
      </c>
      <c r="CS44">
        <f t="shared" si="29"/>
        <v>0</v>
      </c>
      <c r="CT44">
        <f t="shared" si="29"/>
        <v>0</v>
      </c>
    </row>
    <row r="45" spans="1:98" x14ac:dyDescent="0.25">
      <c r="A45" t="s">
        <v>51</v>
      </c>
      <c r="B45" t="s">
        <v>225</v>
      </c>
      <c r="C45" s="27">
        <v>0.18</v>
      </c>
      <c r="D45" s="13">
        <f>6.34-Heat_capacity_unit_investment_cost/C45</f>
        <v>6.0622222222222222</v>
      </c>
      <c r="E45" s="25">
        <f>362000-Heat_capacity_fixed_operating_costs/C45</f>
        <v>351444.44444444444</v>
      </c>
      <c r="F45" s="12">
        <v>25</v>
      </c>
      <c r="G45" s="12">
        <v>1</v>
      </c>
      <c r="H45" s="12">
        <f t="shared" si="10"/>
        <v>1</v>
      </c>
      <c r="I45" s="23">
        <v>2015</v>
      </c>
      <c r="J45" s="20">
        <f>HLOOKUP($B$8,Prices!$A$28:$V$29,2,FALSE)/HLOOKUP(I45,Prices!$A$28:$V$29,2,FALSE)</f>
        <v>1.0676750402114485</v>
      </c>
      <c r="K45" s="14">
        <f t="shared" si="0"/>
        <v>7.2470900752687001E-2</v>
      </c>
      <c r="L45" s="24">
        <f t="shared" si="21"/>
        <v>0.91230769230769226</v>
      </c>
      <c r="M45" s="5">
        <v>1</v>
      </c>
      <c r="N45" s="5">
        <f t="shared" si="11"/>
        <v>0.91230769230769226</v>
      </c>
      <c r="O45" s="16">
        <f t="shared" si="1"/>
        <v>834467.0602115409</v>
      </c>
      <c r="P45" s="19">
        <f t="shared" si="2"/>
        <v>834467.06021154125</v>
      </c>
      <c r="Q45" s="6">
        <f t="shared" si="12"/>
        <v>914677.21608347655</v>
      </c>
      <c r="R45" s="34">
        <f t="shared" si="3"/>
        <v>39.162903792079888</v>
      </c>
      <c r="S45" s="13">
        <v>4.5</v>
      </c>
      <c r="T45" s="11">
        <f>StrawPriceSmall</f>
        <v>24.431677852348994</v>
      </c>
      <c r="U45" s="22">
        <f t="shared" si="28"/>
        <v>-0.58153846153846145</v>
      </c>
      <c r="V45" s="6">
        <f t="shared" si="13"/>
        <v>-42.012144455097484</v>
      </c>
      <c r="W45" s="26">
        <f>S45*J45+V45*HLOOKUP($B$8,Prices!$A$28:$V$29,2,FALSE)/Prices!$J$29</f>
        <v>-33.37949649793871</v>
      </c>
      <c r="X45" t="s">
        <v>116</v>
      </c>
      <c r="Y45" s="29" t="s">
        <v>116</v>
      </c>
      <c r="Z45" s="29" t="s">
        <v>115</v>
      </c>
      <c r="AA45" s="29" t="s">
        <v>116</v>
      </c>
      <c r="AB45" t="s">
        <v>75</v>
      </c>
      <c r="AC45">
        <f t="shared" si="22"/>
        <v>5773544.9735449729</v>
      </c>
      <c r="AD45">
        <f t="shared" si="22"/>
        <v>318770.47115142352</v>
      </c>
      <c r="AE45">
        <f t="shared" si="22"/>
        <v>303590.92490611761</v>
      </c>
      <c r="AF45">
        <f t="shared" si="22"/>
        <v>289134.21419630252</v>
      </c>
      <c r="AG45">
        <f t="shared" si="22"/>
        <v>275365.91828219284</v>
      </c>
      <c r="AH45">
        <f t="shared" si="22"/>
        <v>262253.25550685037</v>
      </c>
      <c r="AI45">
        <f t="shared" si="22"/>
        <v>249765.00524461936</v>
      </c>
      <c r="AJ45">
        <f t="shared" si="22"/>
        <v>237871.43356630416</v>
      </c>
      <c r="AK45">
        <f t="shared" si="22"/>
        <v>226544.2224440992</v>
      </c>
      <c r="AL45">
        <f t="shared" si="22"/>
        <v>215756.40232771353</v>
      </c>
      <c r="AM45">
        <f t="shared" si="23"/>
        <v>205482.2879311557</v>
      </c>
      <c r="AN45">
        <f t="shared" si="23"/>
        <v>195697.41707729117</v>
      </c>
      <c r="AO45">
        <f t="shared" si="23"/>
        <v>186378.49245456301</v>
      </c>
      <c r="AP45">
        <f t="shared" si="23"/>
        <v>177503.3261472029</v>
      </c>
      <c r="AQ45">
        <f t="shared" si="23"/>
        <v>169050.78680685986</v>
      </c>
      <c r="AR45">
        <f t="shared" si="23"/>
        <v>161000.74933986654</v>
      </c>
      <c r="AS45">
        <f t="shared" si="23"/>
        <v>153334.04699034907</v>
      </c>
      <c r="AT45">
        <f t="shared" si="23"/>
        <v>146032.42570509436</v>
      </c>
      <c r="AU45">
        <f t="shared" si="23"/>
        <v>139078.50067151844</v>
      </c>
      <c r="AV45">
        <f t="shared" si="23"/>
        <v>132455.71492525566</v>
      </c>
      <c r="AW45">
        <f t="shared" si="24"/>
        <v>126148.29992881491</v>
      </c>
      <c r="AX45">
        <f t="shared" si="24"/>
        <v>120141.23802744279</v>
      </c>
      <c r="AY45">
        <f t="shared" si="24"/>
        <v>114420.22669280262</v>
      </c>
      <c r="AZ45">
        <f t="shared" si="24"/>
        <v>108971.64446933585</v>
      </c>
      <c r="BA45">
        <f t="shared" si="24"/>
        <v>103782.51854222461</v>
      </c>
      <c r="BB45">
        <f t="shared" si="24"/>
        <v>98840.49384973773</v>
      </c>
      <c r="BC45">
        <f t="shared" si="24"/>
        <v>0</v>
      </c>
      <c r="BD45">
        <f t="shared" si="24"/>
        <v>0</v>
      </c>
      <c r="BE45">
        <f t="shared" si="24"/>
        <v>0</v>
      </c>
      <c r="BF45">
        <f t="shared" si="24"/>
        <v>0</v>
      </c>
      <c r="BG45">
        <f t="shared" si="25"/>
        <v>0</v>
      </c>
      <c r="BH45">
        <f t="shared" si="25"/>
        <v>0</v>
      </c>
      <c r="BI45">
        <f t="shared" si="25"/>
        <v>0</v>
      </c>
      <c r="BJ45">
        <f t="shared" si="25"/>
        <v>0</v>
      </c>
      <c r="BK45">
        <f t="shared" si="25"/>
        <v>0</v>
      </c>
      <c r="BL45">
        <f t="shared" si="25"/>
        <v>0</v>
      </c>
      <c r="BM45">
        <f t="shared" si="25"/>
        <v>0</v>
      </c>
      <c r="BN45">
        <f t="shared" si="25"/>
        <v>0</v>
      </c>
      <c r="BO45">
        <f t="shared" si="25"/>
        <v>0</v>
      </c>
      <c r="BP45">
        <f t="shared" si="25"/>
        <v>0</v>
      </c>
      <c r="BQ45">
        <f t="shared" si="26"/>
        <v>0</v>
      </c>
      <c r="BR45">
        <f t="shared" si="26"/>
        <v>0</v>
      </c>
      <c r="BS45">
        <f t="shared" si="26"/>
        <v>0</v>
      </c>
      <c r="BT45">
        <f t="shared" si="26"/>
        <v>0</v>
      </c>
      <c r="BU45">
        <f t="shared" si="26"/>
        <v>0</v>
      </c>
      <c r="BV45">
        <f t="shared" si="26"/>
        <v>0</v>
      </c>
      <c r="BW45">
        <f t="shared" si="26"/>
        <v>0</v>
      </c>
      <c r="BX45">
        <f t="shared" si="26"/>
        <v>0</v>
      </c>
      <c r="BY45">
        <f t="shared" si="26"/>
        <v>0</v>
      </c>
      <c r="BZ45">
        <f t="shared" si="26"/>
        <v>0</v>
      </c>
      <c r="CA45">
        <f t="shared" si="29"/>
        <v>0</v>
      </c>
      <c r="CB45">
        <f t="shared" si="29"/>
        <v>0</v>
      </c>
      <c r="CC45">
        <f t="shared" si="29"/>
        <v>0</v>
      </c>
      <c r="CD45">
        <f t="shared" si="29"/>
        <v>0</v>
      </c>
      <c r="CE45">
        <f t="shared" si="29"/>
        <v>0</v>
      </c>
      <c r="CF45">
        <f t="shared" si="29"/>
        <v>0</v>
      </c>
      <c r="CG45">
        <f t="shared" si="29"/>
        <v>0</v>
      </c>
      <c r="CH45">
        <f t="shared" si="29"/>
        <v>0</v>
      </c>
      <c r="CI45">
        <f t="shared" si="29"/>
        <v>0</v>
      </c>
      <c r="CJ45">
        <f t="shared" si="29"/>
        <v>0</v>
      </c>
      <c r="CK45">
        <f t="shared" si="29"/>
        <v>0</v>
      </c>
      <c r="CL45">
        <f t="shared" si="29"/>
        <v>0</v>
      </c>
      <c r="CM45">
        <f t="shared" si="29"/>
        <v>0</v>
      </c>
      <c r="CN45">
        <f t="shared" si="29"/>
        <v>0</v>
      </c>
      <c r="CO45">
        <f t="shared" si="29"/>
        <v>0</v>
      </c>
      <c r="CP45">
        <f t="shared" si="29"/>
        <v>0</v>
      </c>
      <c r="CQ45">
        <f t="shared" si="29"/>
        <v>0</v>
      </c>
      <c r="CR45">
        <f t="shared" si="29"/>
        <v>0</v>
      </c>
      <c r="CS45">
        <f t="shared" si="29"/>
        <v>0</v>
      </c>
      <c r="CT45">
        <f t="shared" si="29"/>
        <v>0</v>
      </c>
    </row>
    <row r="46" spans="1:98" x14ac:dyDescent="0.25">
      <c r="A46" t="s">
        <v>52</v>
      </c>
      <c r="B46" t="s">
        <v>219</v>
      </c>
      <c r="C46" s="9" t="s">
        <v>118</v>
      </c>
      <c r="D46" s="13">
        <v>2.5499999999999998</v>
      </c>
      <c r="E46" s="25">
        <v>68056</v>
      </c>
      <c r="F46" s="12">
        <v>25</v>
      </c>
      <c r="G46" s="12">
        <v>5</v>
      </c>
      <c r="H46" s="12">
        <f t="shared" si="10"/>
        <v>5</v>
      </c>
      <c r="I46" s="23">
        <v>2020</v>
      </c>
      <c r="J46" s="20">
        <f>HLOOKUP($B$8,Prices!$A$28:$V$29,2,FALSE)/HLOOKUP(I46,Prices!$A$28:$V$29,2,FALSE)</f>
        <v>1</v>
      </c>
      <c r="K46" s="14">
        <f t="shared" si="0"/>
        <v>8.0242587190691314E-2</v>
      </c>
      <c r="L46" s="24">
        <f t="shared" si="21"/>
        <v>0.91230769230769226</v>
      </c>
      <c r="M46" s="5">
        <v>1</v>
      </c>
      <c r="N46" s="5">
        <f t="shared" si="11"/>
        <v>0.91230769230769226</v>
      </c>
      <c r="O46" s="16">
        <f t="shared" si="1"/>
        <v>268005.128811626</v>
      </c>
      <c r="P46" s="19">
        <f t="shared" si="2"/>
        <v>248984.76611303553</v>
      </c>
      <c r="Q46" s="6">
        <f t="shared" si="12"/>
        <v>293766.16142926965</v>
      </c>
      <c r="R46" s="34">
        <f t="shared" si="3"/>
        <v>12.577918980735971</v>
      </c>
      <c r="S46" s="13">
        <v>2.76</v>
      </c>
      <c r="T46" s="11">
        <f>WCPriceCentral</f>
        <v>30.645906040268457</v>
      </c>
      <c r="U46" s="22">
        <v>0.41</v>
      </c>
      <c r="V46" s="6">
        <f t="shared" si="13"/>
        <v>74.746112293337703</v>
      </c>
      <c r="W46" s="26">
        <f>S46*J46+V46*HLOOKUP($B$8,Prices!$A$28:$V$29,2,FALSE)/Prices!$J$29</f>
        <v>70.695311171712277</v>
      </c>
      <c r="X46" t="s">
        <v>116</v>
      </c>
      <c r="Y46" s="29" t="s">
        <v>116</v>
      </c>
      <c r="Z46" s="29" t="s">
        <v>115</v>
      </c>
      <c r="AA46" s="29" t="s">
        <v>116</v>
      </c>
      <c r="AB46" t="s">
        <v>75</v>
      </c>
      <c r="AC46">
        <f t="shared" si="22"/>
        <v>485714.28571428568</v>
      </c>
      <c r="AD46">
        <f t="shared" si="22"/>
        <v>462585.03401360544</v>
      </c>
      <c r="AE46">
        <f t="shared" si="22"/>
        <v>440557.17525105277</v>
      </c>
      <c r="AF46">
        <f t="shared" si="22"/>
        <v>419578.26214385981</v>
      </c>
      <c r="AG46">
        <f t="shared" si="22"/>
        <v>399598.34489891405</v>
      </c>
      <c r="AH46">
        <f t="shared" si="22"/>
        <v>50784.435033502334</v>
      </c>
      <c r="AI46">
        <f t="shared" si="22"/>
        <v>48366.128603335543</v>
      </c>
      <c r="AJ46">
        <f t="shared" si="22"/>
        <v>46062.979622224331</v>
      </c>
      <c r="AK46">
        <f t="shared" si="22"/>
        <v>43869.504402118415</v>
      </c>
      <c r="AL46">
        <f t="shared" si="22"/>
        <v>41780.480382969916</v>
      </c>
      <c r="AM46">
        <f t="shared" si="23"/>
        <v>39790.933698066583</v>
      </c>
      <c r="AN46">
        <f t="shared" si="23"/>
        <v>37896.127331491989</v>
      </c>
      <c r="AO46">
        <f t="shared" si="23"/>
        <v>36091.549839516178</v>
      </c>
      <c r="AP46">
        <f t="shared" si="23"/>
        <v>34372.904609063029</v>
      </c>
      <c r="AQ46">
        <f t="shared" si="23"/>
        <v>32736.099627679068</v>
      </c>
      <c r="AR46">
        <f t="shared" si="23"/>
        <v>31177.237740646735</v>
      </c>
      <c r="AS46">
        <f t="shared" si="23"/>
        <v>29692.607372044506</v>
      </c>
      <c r="AT46">
        <f t="shared" si="23"/>
        <v>28278.673687661434</v>
      </c>
      <c r="AU46">
        <f t="shared" si="23"/>
        <v>26932.070178725175</v>
      </c>
      <c r="AV46">
        <f t="shared" si="23"/>
        <v>25649.590646404929</v>
      </c>
      <c r="AW46">
        <f t="shared" si="24"/>
        <v>24428.181568004693</v>
      </c>
      <c r="AX46">
        <f t="shared" si="24"/>
        <v>23264.934826671139</v>
      </c>
      <c r="AY46">
        <f t="shared" si="24"/>
        <v>22157.080787305844</v>
      </c>
      <c r="AZ46">
        <f t="shared" si="24"/>
        <v>21101.981702196044</v>
      </c>
      <c r="BA46">
        <f t="shared" si="24"/>
        <v>20097.125430662898</v>
      </c>
      <c r="BB46">
        <f t="shared" si="24"/>
        <v>19140.119457774188</v>
      </c>
      <c r="BC46">
        <f t="shared" si="24"/>
        <v>18228.685197880175</v>
      </c>
      <c r="BD46">
        <f t="shared" si="24"/>
        <v>17360.652569409696</v>
      </c>
      <c r="BE46">
        <f t="shared" si="24"/>
        <v>16533.954828009231</v>
      </c>
      <c r="BF46">
        <f t="shared" si="24"/>
        <v>15746.623645723083</v>
      </c>
      <c r="BG46">
        <f t="shared" si="25"/>
        <v>0</v>
      </c>
      <c r="BH46">
        <f t="shared" si="25"/>
        <v>0</v>
      </c>
      <c r="BI46">
        <f t="shared" si="25"/>
        <v>0</v>
      </c>
      <c r="BJ46">
        <f t="shared" si="25"/>
        <v>0</v>
      </c>
      <c r="BK46">
        <f t="shared" si="25"/>
        <v>0</v>
      </c>
      <c r="BL46">
        <f t="shared" si="25"/>
        <v>0</v>
      </c>
      <c r="BM46">
        <f t="shared" si="25"/>
        <v>0</v>
      </c>
      <c r="BN46">
        <f t="shared" si="25"/>
        <v>0</v>
      </c>
      <c r="BO46">
        <f t="shared" si="25"/>
        <v>0</v>
      </c>
      <c r="BP46">
        <f t="shared" si="25"/>
        <v>0</v>
      </c>
      <c r="BQ46">
        <f t="shared" si="26"/>
        <v>0</v>
      </c>
      <c r="BR46">
        <f t="shared" si="26"/>
        <v>0</v>
      </c>
      <c r="BS46">
        <f t="shared" si="26"/>
        <v>0</v>
      </c>
      <c r="BT46">
        <f t="shared" si="26"/>
        <v>0</v>
      </c>
      <c r="BU46">
        <f t="shared" si="26"/>
        <v>0</v>
      </c>
      <c r="BV46">
        <f t="shared" si="26"/>
        <v>0</v>
      </c>
      <c r="BW46">
        <f t="shared" si="26"/>
        <v>0</v>
      </c>
      <c r="BX46">
        <f t="shared" si="26"/>
        <v>0</v>
      </c>
      <c r="BY46">
        <f t="shared" si="26"/>
        <v>0</v>
      </c>
      <c r="BZ46">
        <f t="shared" si="26"/>
        <v>0</v>
      </c>
      <c r="CA46">
        <f t="shared" si="29"/>
        <v>0</v>
      </c>
      <c r="CB46">
        <f t="shared" si="29"/>
        <v>0</v>
      </c>
      <c r="CC46">
        <f t="shared" si="29"/>
        <v>0</v>
      </c>
      <c r="CD46">
        <f t="shared" si="29"/>
        <v>0</v>
      </c>
      <c r="CE46">
        <f t="shared" si="29"/>
        <v>0</v>
      </c>
      <c r="CF46">
        <f t="shared" si="29"/>
        <v>0</v>
      </c>
      <c r="CG46">
        <f t="shared" si="29"/>
        <v>0</v>
      </c>
      <c r="CH46">
        <f t="shared" si="29"/>
        <v>0</v>
      </c>
      <c r="CI46">
        <f t="shared" si="29"/>
        <v>0</v>
      </c>
      <c r="CJ46">
        <f t="shared" si="29"/>
        <v>0</v>
      </c>
      <c r="CK46">
        <f t="shared" si="29"/>
        <v>0</v>
      </c>
      <c r="CL46">
        <f t="shared" si="29"/>
        <v>0</v>
      </c>
      <c r="CM46">
        <f t="shared" si="29"/>
        <v>0</v>
      </c>
      <c r="CN46">
        <f t="shared" si="29"/>
        <v>0</v>
      </c>
      <c r="CO46">
        <f t="shared" si="29"/>
        <v>0</v>
      </c>
      <c r="CP46">
        <f t="shared" si="29"/>
        <v>0</v>
      </c>
      <c r="CQ46">
        <f t="shared" si="29"/>
        <v>0</v>
      </c>
      <c r="CR46">
        <f t="shared" si="29"/>
        <v>0</v>
      </c>
      <c r="CS46">
        <f t="shared" si="29"/>
        <v>0</v>
      </c>
      <c r="CT46">
        <f t="shared" si="29"/>
        <v>0</v>
      </c>
    </row>
    <row r="47" spans="1:98" x14ac:dyDescent="0.25">
      <c r="A47" t="s">
        <v>53</v>
      </c>
      <c r="B47" t="s">
        <v>218</v>
      </c>
      <c r="C47" s="9" t="s">
        <v>118</v>
      </c>
      <c r="D47" s="13">
        <v>2.17</v>
      </c>
      <c r="E47" s="25">
        <v>55295</v>
      </c>
      <c r="F47" s="12">
        <v>25</v>
      </c>
      <c r="G47" s="12">
        <v>5</v>
      </c>
      <c r="H47" s="12">
        <f t="shared" si="10"/>
        <v>5</v>
      </c>
      <c r="I47" s="23">
        <v>2020</v>
      </c>
      <c r="J47" s="20">
        <f>HLOOKUP($B$8,Prices!$A$28:$V$29,2,FALSE)/HLOOKUP(I47,Prices!$A$28:$V$29,2,FALSE)</f>
        <v>1</v>
      </c>
      <c r="K47" s="14">
        <f t="shared" si="0"/>
        <v>8.0242587190691314E-2</v>
      </c>
      <c r="L47" s="24">
        <f t="shared" si="21"/>
        <v>0.91230769230769226</v>
      </c>
      <c r="M47" s="5">
        <v>1</v>
      </c>
      <c r="N47" s="5">
        <f t="shared" si="11"/>
        <v>0.91230769230769226</v>
      </c>
      <c r="O47" s="16">
        <f t="shared" si="1"/>
        <v>225447.78804754058</v>
      </c>
      <c r="P47" s="19">
        <f t="shared" si="2"/>
        <v>209261.83233932828</v>
      </c>
      <c r="Q47" s="6">
        <f t="shared" si="12"/>
        <v>247118.14878735479</v>
      </c>
      <c r="R47" s="34">
        <f t="shared" si="3"/>
        <v>10.580633381987317</v>
      </c>
      <c r="S47" s="13">
        <v>1.17</v>
      </c>
      <c r="T47" s="11">
        <f>WPpriceCentral</f>
        <v>40.64859060402685</v>
      </c>
      <c r="U47" s="22">
        <v>0.43</v>
      </c>
      <c r="V47" s="6">
        <f t="shared" si="13"/>
        <v>94.531606055876395</v>
      </c>
      <c r="W47" s="26">
        <f>S47*J47+V47*HLOOKUP($B$8,Prices!$A$28:$V$29,2,FALSE)/Prices!$J$29</f>
        <v>87.087967850484375</v>
      </c>
      <c r="X47" t="s">
        <v>116</v>
      </c>
      <c r="Y47" s="29" t="s">
        <v>116</v>
      </c>
      <c r="Z47" s="29" t="s">
        <v>115</v>
      </c>
      <c r="AA47" s="29" t="s">
        <v>116</v>
      </c>
      <c r="AB47" t="s">
        <v>75</v>
      </c>
      <c r="AC47">
        <f t="shared" si="22"/>
        <v>413333.33333333331</v>
      </c>
      <c r="AD47">
        <f t="shared" si="22"/>
        <v>393650.79365079361</v>
      </c>
      <c r="AE47">
        <f t="shared" si="22"/>
        <v>374905.51776266057</v>
      </c>
      <c r="AF47">
        <f t="shared" si="22"/>
        <v>357052.87405967677</v>
      </c>
      <c r="AG47">
        <f t="shared" si="22"/>
        <v>340050.35624731117</v>
      </c>
      <c r="AH47">
        <f t="shared" si="22"/>
        <v>41261.98035702233</v>
      </c>
      <c r="AI47">
        <f t="shared" si="22"/>
        <v>39297.124149545067</v>
      </c>
      <c r="AJ47">
        <f t="shared" si="22"/>
        <v>37425.832523376259</v>
      </c>
      <c r="AK47">
        <f t="shared" si="22"/>
        <v>35643.6500222631</v>
      </c>
      <c r="AL47">
        <f t="shared" si="22"/>
        <v>33946.333354536284</v>
      </c>
      <c r="AM47">
        <f t="shared" si="23"/>
        <v>32329.841290034557</v>
      </c>
      <c r="AN47">
        <f t="shared" si="23"/>
        <v>30790.325038128154</v>
      </c>
      <c r="AO47">
        <f t="shared" si="23"/>
        <v>29324.119083931568</v>
      </c>
      <c r="AP47">
        <f t="shared" si="23"/>
        <v>27927.732460887215</v>
      </c>
      <c r="AQ47">
        <f t="shared" si="23"/>
        <v>26597.840438940195</v>
      </c>
      <c r="AR47">
        <f t="shared" si="23"/>
        <v>25331.276608514476</v>
      </c>
      <c r="AS47">
        <f t="shared" si="23"/>
        <v>24125.025341442353</v>
      </c>
      <c r="AT47">
        <f t="shared" si="23"/>
        <v>22976.214610897481</v>
      </c>
      <c r="AU47">
        <f t="shared" si="23"/>
        <v>21882.109153235695</v>
      </c>
      <c r="AV47">
        <f t="shared" si="23"/>
        <v>20840.103955462568</v>
      </c>
      <c r="AW47">
        <f t="shared" si="24"/>
        <v>19847.718052821492</v>
      </c>
      <c r="AX47">
        <f t="shared" si="24"/>
        <v>18902.588621734758</v>
      </c>
      <c r="AY47">
        <f t="shared" si="24"/>
        <v>18002.465354033098</v>
      </c>
      <c r="AZ47">
        <f t="shared" si="24"/>
        <v>17145.205099079143</v>
      </c>
      <c r="BA47">
        <f t="shared" si="24"/>
        <v>16328.766761027755</v>
      </c>
      <c r="BB47">
        <f t="shared" si="24"/>
        <v>15551.206439074052</v>
      </c>
      <c r="BC47">
        <f t="shared" si="24"/>
        <v>14810.672799118143</v>
      </c>
      <c r="BD47">
        <f t="shared" si="24"/>
        <v>14105.402665826805</v>
      </c>
      <c r="BE47">
        <f t="shared" si="24"/>
        <v>13433.716824596955</v>
      </c>
      <c r="BF47">
        <f t="shared" si="24"/>
        <v>12794.016023425676</v>
      </c>
      <c r="BG47">
        <f t="shared" si="25"/>
        <v>0</v>
      </c>
      <c r="BH47">
        <f t="shared" si="25"/>
        <v>0</v>
      </c>
      <c r="BI47">
        <f t="shared" si="25"/>
        <v>0</v>
      </c>
      <c r="BJ47">
        <f t="shared" si="25"/>
        <v>0</v>
      </c>
      <c r="BK47">
        <f t="shared" si="25"/>
        <v>0</v>
      </c>
      <c r="BL47">
        <f t="shared" si="25"/>
        <v>0</v>
      </c>
      <c r="BM47">
        <f t="shared" si="25"/>
        <v>0</v>
      </c>
      <c r="BN47">
        <f t="shared" si="25"/>
        <v>0</v>
      </c>
      <c r="BO47">
        <f t="shared" si="25"/>
        <v>0</v>
      </c>
      <c r="BP47">
        <f t="shared" si="25"/>
        <v>0</v>
      </c>
      <c r="BQ47">
        <f t="shared" si="26"/>
        <v>0</v>
      </c>
      <c r="BR47">
        <f t="shared" si="26"/>
        <v>0</v>
      </c>
      <c r="BS47">
        <f t="shared" si="26"/>
        <v>0</v>
      </c>
      <c r="BT47">
        <f t="shared" si="26"/>
        <v>0</v>
      </c>
      <c r="BU47">
        <f t="shared" si="26"/>
        <v>0</v>
      </c>
      <c r="BV47">
        <f t="shared" si="26"/>
        <v>0</v>
      </c>
      <c r="BW47">
        <f t="shared" si="26"/>
        <v>0</v>
      </c>
      <c r="BX47">
        <f t="shared" si="26"/>
        <v>0</v>
      </c>
      <c r="BY47">
        <f t="shared" si="26"/>
        <v>0</v>
      </c>
      <c r="BZ47">
        <f t="shared" si="26"/>
        <v>0</v>
      </c>
      <c r="CA47">
        <f t="shared" si="29"/>
        <v>0</v>
      </c>
      <c r="CB47">
        <f t="shared" si="29"/>
        <v>0</v>
      </c>
      <c r="CC47">
        <f t="shared" si="29"/>
        <v>0</v>
      </c>
      <c r="CD47">
        <f t="shared" si="29"/>
        <v>0</v>
      </c>
      <c r="CE47">
        <f t="shared" si="29"/>
        <v>0</v>
      </c>
      <c r="CF47">
        <f t="shared" si="29"/>
        <v>0</v>
      </c>
      <c r="CG47">
        <f t="shared" si="29"/>
        <v>0</v>
      </c>
      <c r="CH47">
        <f t="shared" si="29"/>
        <v>0</v>
      </c>
      <c r="CI47">
        <f t="shared" si="29"/>
        <v>0</v>
      </c>
      <c r="CJ47">
        <f t="shared" si="29"/>
        <v>0</v>
      </c>
      <c r="CK47">
        <f t="shared" si="29"/>
        <v>0</v>
      </c>
      <c r="CL47">
        <f t="shared" si="29"/>
        <v>0</v>
      </c>
      <c r="CM47">
        <f t="shared" si="29"/>
        <v>0</v>
      </c>
      <c r="CN47">
        <f t="shared" si="29"/>
        <v>0</v>
      </c>
      <c r="CO47">
        <f t="shared" si="29"/>
        <v>0</v>
      </c>
      <c r="CP47">
        <f t="shared" si="29"/>
        <v>0</v>
      </c>
      <c r="CQ47">
        <f t="shared" si="29"/>
        <v>0</v>
      </c>
      <c r="CR47">
        <f t="shared" si="29"/>
        <v>0</v>
      </c>
      <c r="CS47">
        <f t="shared" si="29"/>
        <v>0</v>
      </c>
      <c r="CT47">
        <f t="shared" si="29"/>
        <v>0</v>
      </c>
    </row>
    <row r="48" spans="1:98" x14ac:dyDescent="0.25">
      <c r="A48" t="s">
        <v>54</v>
      </c>
      <c r="B48" t="s">
        <v>124</v>
      </c>
      <c r="C48" s="9" t="s">
        <v>118</v>
      </c>
      <c r="D48" s="13">
        <v>2.13</v>
      </c>
      <c r="E48" s="25">
        <v>106337</v>
      </c>
      <c r="F48" s="12">
        <v>20</v>
      </c>
      <c r="G48" s="12">
        <v>1</v>
      </c>
      <c r="H48" s="12">
        <f t="shared" si="10"/>
        <v>1</v>
      </c>
      <c r="I48" s="23">
        <v>2020</v>
      </c>
      <c r="J48" s="20">
        <f>HLOOKUP($B$8,Prices!$A$28:$V$29,2,FALSE)/HLOOKUP(I48,Prices!$A$28:$V$29,2,FALSE)</f>
        <v>1</v>
      </c>
      <c r="K48" s="14">
        <f t="shared" si="0"/>
        <v>8.2745010381756232E-2</v>
      </c>
      <c r="L48" s="24">
        <v>0.9</v>
      </c>
      <c r="M48" s="5">
        <v>1</v>
      </c>
      <c r="N48" s="5">
        <f t="shared" si="11"/>
        <v>0.9</v>
      </c>
      <c r="O48" s="16">
        <f t="shared" si="1"/>
        <v>277253.71071617235</v>
      </c>
      <c r="P48" s="19">
        <f t="shared" si="2"/>
        <v>277253.71071617247</v>
      </c>
      <c r="Q48" s="6">
        <f t="shared" si="12"/>
        <v>308059.67857352481</v>
      </c>
      <c r="R48" s="34">
        <f t="shared" si="3"/>
        <v>13.189911525130803</v>
      </c>
      <c r="S48" s="13">
        <v>0</v>
      </c>
      <c r="T48" s="11">
        <f>BiogasPrice</f>
        <v>38.169664429530194</v>
      </c>
      <c r="U48" s="22">
        <v>0.6</v>
      </c>
      <c r="V48" s="6">
        <f t="shared" si="13"/>
        <v>63.616107382550325</v>
      </c>
      <c r="W48" s="26">
        <f>S48*J48+V48*HLOOKUP($B$8,Prices!$A$28:$V$29,2,FALSE)/Prices!$J$29</f>
        <v>57.819462684640911</v>
      </c>
      <c r="X48" t="s">
        <v>115</v>
      </c>
      <c r="Y48" s="29" t="s">
        <v>115</v>
      </c>
      <c r="Z48" s="29" t="s">
        <v>116</v>
      </c>
      <c r="AA48" s="29" t="s">
        <v>115</v>
      </c>
      <c r="AB48" t="s">
        <v>75</v>
      </c>
      <c r="AC48">
        <f t="shared" ref="AC48:AL56" si="30">IF(AC$17&lt;=$H48,1000000*$D48/$H48,IF(AC$17&lt;=($H48+$F48),$E48,0))/(1+WACC)^AC$17</f>
        <v>2028571.4285714284</v>
      </c>
      <c r="AD48">
        <f t="shared" si="30"/>
        <v>96450.793650793654</v>
      </c>
      <c r="AE48">
        <f t="shared" si="30"/>
        <v>91857.898715041563</v>
      </c>
      <c r="AF48">
        <f t="shared" si="30"/>
        <v>87483.713061944349</v>
      </c>
      <c r="AG48">
        <f t="shared" si="30"/>
        <v>83317.82196375652</v>
      </c>
      <c r="AH48">
        <f t="shared" si="30"/>
        <v>79350.306632149077</v>
      </c>
      <c r="AI48">
        <f t="shared" si="30"/>
        <v>75571.720602046727</v>
      </c>
      <c r="AJ48">
        <f t="shared" si="30"/>
        <v>71973.067240044504</v>
      </c>
      <c r="AK48">
        <f t="shared" si="30"/>
        <v>68545.778323851904</v>
      </c>
      <c r="AL48">
        <f t="shared" si="30"/>
        <v>65281.693641763726</v>
      </c>
      <c r="AM48">
        <f t="shared" ref="AM48:AV56" si="31">IF(AM$17&lt;=$H48,1000000*$D48/$H48,IF(AM$17&lt;=($H48+$F48),$E48,0))/(1+WACC)^AM$17</f>
        <v>62173.041563584491</v>
      </c>
      <c r="AN48">
        <f t="shared" si="31"/>
        <v>59212.420536747144</v>
      </c>
      <c r="AO48">
        <f t="shared" si="31"/>
        <v>56392.781463568703</v>
      </c>
      <c r="AP48">
        <f t="shared" si="31"/>
        <v>53707.410917684487</v>
      </c>
      <c r="AQ48">
        <f t="shared" si="31"/>
        <v>51149.9151596995</v>
      </c>
      <c r="AR48">
        <f t="shared" si="31"/>
        <v>48714.204913999529</v>
      </c>
      <c r="AS48">
        <f t="shared" si="31"/>
        <v>46394.480870475731</v>
      </c>
      <c r="AT48">
        <f t="shared" si="31"/>
        <v>44185.219876643554</v>
      </c>
      <c r="AU48">
        <f t="shared" si="31"/>
        <v>42081.161787279576</v>
      </c>
      <c r="AV48">
        <f t="shared" si="31"/>
        <v>40077.296940266264</v>
      </c>
      <c r="AW48">
        <f t="shared" ref="AW48:BF56" si="32">IF(AW$17&lt;=$H48,1000000*$D48/$H48,IF(AW$17&lt;=($H48+$F48),$E48,0))/(1+WACC)^AW$17</f>
        <v>38168.854228825017</v>
      </c>
      <c r="AX48">
        <f t="shared" si="32"/>
        <v>0</v>
      </c>
      <c r="AY48">
        <f t="shared" si="32"/>
        <v>0</v>
      </c>
      <c r="AZ48">
        <f t="shared" si="32"/>
        <v>0</v>
      </c>
      <c r="BA48">
        <f t="shared" si="32"/>
        <v>0</v>
      </c>
      <c r="BB48">
        <f t="shared" si="32"/>
        <v>0</v>
      </c>
      <c r="BC48">
        <f t="shared" si="32"/>
        <v>0</v>
      </c>
      <c r="BD48">
        <f t="shared" si="32"/>
        <v>0</v>
      </c>
      <c r="BE48">
        <f t="shared" si="32"/>
        <v>0</v>
      </c>
      <c r="BF48">
        <f t="shared" si="32"/>
        <v>0</v>
      </c>
      <c r="BG48">
        <f t="shared" ref="BG48:BP56" si="33">IF(BG$17&lt;=$H48,1000000*$D48/$H48,IF(BG$17&lt;=($H48+$F48),$E48,0))/(1+WACC)^BG$17</f>
        <v>0</v>
      </c>
      <c r="BH48">
        <f t="shared" si="33"/>
        <v>0</v>
      </c>
      <c r="BI48">
        <f t="shared" si="33"/>
        <v>0</v>
      </c>
      <c r="BJ48">
        <f t="shared" si="33"/>
        <v>0</v>
      </c>
      <c r="BK48">
        <f t="shared" si="33"/>
        <v>0</v>
      </c>
      <c r="BL48">
        <f t="shared" si="33"/>
        <v>0</v>
      </c>
      <c r="BM48">
        <f t="shared" si="33"/>
        <v>0</v>
      </c>
      <c r="BN48">
        <f t="shared" si="33"/>
        <v>0</v>
      </c>
      <c r="BO48">
        <f t="shared" si="33"/>
        <v>0</v>
      </c>
      <c r="BP48">
        <f t="shared" si="33"/>
        <v>0</v>
      </c>
      <c r="BQ48">
        <f t="shared" ref="BQ48:BZ56" si="34">IF(BQ$17&lt;=$H48,1000000*$D48/$H48,IF(BQ$17&lt;=($H48+$F48),$E48,0))/(1+WACC)^BQ$17</f>
        <v>0</v>
      </c>
      <c r="BR48">
        <f t="shared" si="34"/>
        <v>0</v>
      </c>
      <c r="BS48">
        <f t="shared" si="34"/>
        <v>0</v>
      </c>
      <c r="BT48">
        <f t="shared" si="34"/>
        <v>0</v>
      </c>
      <c r="BU48">
        <f t="shared" si="34"/>
        <v>0</v>
      </c>
      <c r="BV48">
        <f t="shared" si="34"/>
        <v>0</v>
      </c>
      <c r="BW48">
        <f t="shared" si="34"/>
        <v>0</v>
      </c>
      <c r="BX48">
        <f t="shared" si="34"/>
        <v>0</v>
      </c>
      <c r="BY48">
        <f t="shared" si="34"/>
        <v>0</v>
      </c>
      <c r="BZ48">
        <f t="shared" si="34"/>
        <v>0</v>
      </c>
      <c r="CA48">
        <f t="shared" si="29"/>
        <v>0</v>
      </c>
      <c r="CB48">
        <f t="shared" si="29"/>
        <v>0</v>
      </c>
      <c r="CC48">
        <f t="shared" si="29"/>
        <v>0</v>
      </c>
      <c r="CD48">
        <f t="shared" si="29"/>
        <v>0</v>
      </c>
      <c r="CE48">
        <f t="shared" si="29"/>
        <v>0</v>
      </c>
      <c r="CF48">
        <f t="shared" si="29"/>
        <v>0</v>
      </c>
      <c r="CG48">
        <f t="shared" si="29"/>
        <v>0</v>
      </c>
      <c r="CH48">
        <f t="shared" si="29"/>
        <v>0</v>
      </c>
      <c r="CI48">
        <f t="shared" si="29"/>
        <v>0</v>
      </c>
      <c r="CJ48">
        <f t="shared" si="29"/>
        <v>0</v>
      </c>
      <c r="CK48">
        <f t="shared" si="29"/>
        <v>0</v>
      </c>
      <c r="CL48">
        <f t="shared" si="29"/>
        <v>0</v>
      </c>
      <c r="CM48">
        <f t="shared" si="29"/>
        <v>0</v>
      </c>
      <c r="CN48">
        <f t="shared" si="29"/>
        <v>0</v>
      </c>
      <c r="CO48">
        <f t="shared" si="29"/>
        <v>0</v>
      </c>
      <c r="CP48">
        <f t="shared" si="29"/>
        <v>0</v>
      </c>
      <c r="CQ48">
        <f t="shared" si="29"/>
        <v>0</v>
      </c>
      <c r="CR48">
        <f t="shared" si="29"/>
        <v>0</v>
      </c>
      <c r="CS48">
        <f t="shared" si="29"/>
        <v>0</v>
      </c>
      <c r="CT48">
        <f t="shared" si="29"/>
        <v>0</v>
      </c>
    </row>
    <row r="49" spans="1:98" x14ac:dyDescent="0.25">
      <c r="A49" t="s">
        <v>55</v>
      </c>
      <c r="B49" t="s">
        <v>125</v>
      </c>
      <c r="C49" s="9" t="s">
        <v>118</v>
      </c>
      <c r="D49" s="13">
        <v>1.17</v>
      </c>
      <c r="E49" s="25">
        <v>58486</v>
      </c>
      <c r="F49" s="12">
        <v>10</v>
      </c>
      <c r="G49" s="12">
        <v>1</v>
      </c>
      <c r="H49" s="12">
        <f t="shared" si="10"/>
        <v>1</v>
      </c>
      <c r="I49" s="23">
        <v>2020</v>
      </c>
      <c r="J49" s="20">
        <f>HLOOKUP($B$8,Prices!$A$28:$V$29,2,FALSE)/HLOOKUP(I49,Prices!$A$28:$V$29,2,FALSE)</f>
        <v>1</v>
      </c>
      <c r="K49" s="14">
        <f t="shared" si="0"/>
        <v>0.14069007997578778</v>
      </c>
      <c r="L49" s="24">
        <v>0.9</v>
      </c>
      <c r="M49" s="5">
        <v>1</v>
      </c>
      <c r="N49" s="5">
        <f t="shared" si="11"/>
        <v>0.9</v>
      </c>
      <c r="O49" s="16">
        <f t="shared" si="1"/>
        <v>210006.35270958437</v>
      </c>
      <c r="P49" s="19">
        <f t="shared" ref="P49:P74" si="35">J49*(D49*1000000*WACC/(1-(1+WACC)^-F49)+E49)</f>
        <v>210006.35270958432</v>
      </c>
      <c r="Q49" s="6">
        <f t="shared" si="12"/>
        <v>233340.3918995382</v>
      </c>
      <c r="R49" s="34">
        <f t="shared" ref="R49:R74" si="36">Q49/VOLL</f>
        <v>9.9907236761583889</v>
      </c>
      <c r="S49" s="13">
        <f>0.1/52</f>
        <v>1.9230769230769232E-3</v>
      </c>
      <c r="T49" s="11">
        <f>HydrogenPrice</f>
        <v>76.339328859060387</v>
      </c>
      <c r="U49" s="22">
        <v>0.5</v>
      </c>
      <c r="V49" s="6">
        <f t="shared" si="13"/>
        <v>152.67865771812077</v>
      </c>
      <c r="W49" s="26">
        <f>S49*J49+V49*HLOOKUP($B$8,Prices!$A$28:$V$29,2,FALSE)/Prices!$J$29</f>
        <v>138.76863352006126</v>
      </c>
      <c r="X49" t="s">
        <v>115</v>
      </c>
      <c r="Y49" s="29" t="s">
        <v>115</v>
      </c>
      <c r="Z49" s="29" t="s">
        <v>116</v>
      </c>
      <c r="AA49" s="29" t="s">
        <v>115</v>
      </c>
      <c r="AB49" t="s">
        <v>75</v>
      </c>
      <c r="AC49">
        <f t="shared" si="30"/>
        <v>1114285.7142857143</v>
      </c>
      <c r="AD49">
        <f t="shared" si="30"/>
        <v>53048.526077097507</v>
      </c>
      <c r="AE49">
        <f t="shared" si="30"/>
        <v>50522.405787711905</v>
      </c>
      <c r="AF49">
        <f t="shared" si="30"/>
        <v>48116.576940678009</v>
      </c>
      <c r="AG49">
        <f t="shared" si="30"/>
        <v>45825.311372074291</v>
      </c>
      <c r="AH49">
        <f t="shared" si="30"/>
        <v>43643.153687689803</v>
      </c>
      <c r="AI49">
        <f t="shared" si="30"/>
        <v>41564.908273990281</v>
      </c>
      <c r="AJ49">
        <f t="shared" si="30"/>
        <v>39585.626927609796</v>
      </c>
      <c r="AK49">
        <f t="shared" si="30"/>
        <v>37700.59707391409</v>
      </c>
      <c r="AL49">
        <f t="shared" si="30"/>
        <v>35905.330546584846</v>
      </c>
      <c r="AM49">
        <f t="shared" si="31"/>
        <v>34195.552901509378</v>
      </c>
      <c r="AN49">
        <f t="shared" si="31"/>
        <v>0</v>
      </c>
      <c r="AO49">
        <f t="shared" si="31"/>
        <v>0</v>
      </c>
      <c r="AP49">
        <f t="shared" si="31"/>
        <v>0</v>
      </c>
      <c r="AQ49">
        <f t="shared" si="31"/>
        <v>0</v>
      </c>
      <c r="AR49">
        <f t="shared" si="31"/>
        <v>0</v>
      </c>
      <c r="AS49">
        <f t="shared" si="31"/>
        <v>0</v>
      </c>
      <c r="AT49">
        <f t="shared" si="31"/>
        <v>0</v>
      </c>
      <c r="AU49">
        <f t="shared" si="31"/>
        <v>0</v>
      </c>
      <c r="AV49">
        <f t="shared" si="31"/>
        <v>0</v>
      </c>
      <c r="AW49">
        <f t="shared" si="32"/>
        <v>0</v>
      </c>
      <c r="AX49">
        <f t="shared" si="32"/>
        <v>0</v>
      </c>
      <c r="AY49">
        <f t="shared" si="32"/>
        <v>0</v>
      </c>
      <c r="AZ49">
        <f t="shared" si="32"/>
        <v>0</v>
      </c>
      <c r="BA49">
        <f t="shared" si="32"/>
        <v>0</v>
      </c>
      <c r="BB49">
        <f t="shared" si="32"/>
        <v>0</v>
      </c>
      <c r="BC49">
        <f t="shared" si="32"/>
        <v>0</v>
      </c>
      <c r="BD49">
        <f t="shared" si="32"/>
        <v>0</v>
      </c>
      <c r="BE49">
        <f t="shared" si="32"/>
        <v>0</v>
      </c>
      <c r="BF49">
        <f t="shared" si="32"/>
        <v>0</v>
      </c>
      <c r="BG49">
        <f t="shared" si="33"/>
        <v>0</v>
      </c>
      <c r="BH49">
        <f t="shared" si="33"/>
        <v>0</v>
      </c>
      <c r="BI49">
        <f t="shared" si="33"/>
        <v>0</v>
      </c>
      <c r="BJ49">
        <f t="shared" si="33"/>
        <v>0</v>
      </c>
      <c r="BK49">
        <f t="shared" si="33"/>
        <v>0</v>
      </c>
      <c r="BL49">
        <f t="shared" si="33"/>
        <v>0</v>
      </c>
      <c r="BM49">
        <f t="shared" si="33"/>
        <v>0</v>
      </c>
      <c r="BN49">
        <f t="shared" si="33"/>
        <v>0</v>
      </c>
      <c r="BO49">
        <f t="shared" si="33"/>
        <v>0</v>
      </c>
      <c r="BP49">
        <f t="shared" si="33"/>
        <v>0</v>
      </c>
      <c r="BQ49">
        <f t="shared" si="34"/>
        <v>0</v>
      </c>
      <c r="BR49">
        <f t="shared" si="34"/>
        <v>0</v>
      </c>
      <c r="BS49">
        <f t="shared" si="34"/>
        <v>0</v>
      </c>
      <c r="BT49">
        <f t="shared" si="34"/>
        <v>0</v>
      </c>
      <c r="BU49">
        <f t="shared" si="34"/>
        <v>0</v>
      </c>
      <c r="BV49">
        <f t="shared" si="34"/>
        <v>0</v>
      </c>
      <c r="BW49">
        <f t="shared" si="34"/>
        <v>0</v>
      </c>
      <c r="BX49">
        <f t="shared" si="34"/>
        <v>0</v>
      </c>
      <c r="BY49">
        <f t="shared" si="34"/>
        <v>0</v>
      </c>
      <c r="BZ49">
        <f t="shared" si="34"/>
        <v>0</v>
      </c>
      <c r="CA49">
        <f t="shared" si="29"/>
        <v>0</v>
      </c>
      <c r="CB49">
        <f t="shared" si="29"/>
        <v>0</v>
      </c>
      <c r="CC49">
        <f t="shared" si="29"/>
        <v>0</v>
      </c>
      <c r="CD49">
        <f t="shared" si="29"/>
        <v>0</v>
      </c>
      <c r="CE49">
        <f t="shared" si="29"/>
        <v>0</v>
      </c>
      <c r="CF49">
        <f t="shared" si="29"/>
        <v>0</v>
      </c>
      <c r="CG49">
        <f t="shared" si="29"/>
        <v>0</v>
      </c>
      <c r="CH49">
        <f t="shared" si="29"/>
        <v>0</v>
      </c>
      <c r="CI49">
        <f t="shared" si="29"/>
        <v>0</v>
      </c>
      <c r="CJ49">
        <f t="shared" si="29"/>
        <v>0</v>
      </c>
      <c r="CK49">
        <f t="shared" si="29"/>
        <v>0</v>
      </c>
      <c r="CL49">
        <f t="shared" si="29"/>
        <v>0</v>
      </c>
      <c r="CM49">
        <f t="shared" si="29"/>
        <v>0</v>
      </c>
      <c r="CN49">
        <f t="shared" si="29"/>
        <v>0</v>
      </c>
      <c r="CO49">
        <f t="shared" si="29"/>
        <v>0</v>
      </c>
      <c r="CP49">
        <f t="shared" si="29"/>
        <v>0</v>
      </c>
      <c r="CQ49">
        <f t="shared" si="29"/>
        <v>0</v>
      </c>
      <c r="CR49">
        <f t="shared" si="29"/>
        <v>0</v>
      </c>
      <c r="CS49">
        <f t="shared" si="29"/>
        <v>0</v>
      </c>
      <c r="CT49">
        <f t="shared" si="29"/>
        <v>0</v>
      </c>
    </row>
    <row r="50" spans="1:98" x14ac:dyDescent="0.25">
      <c r="A50" t="s">
        <v>56</v>
      </c>
      <c r="B50" t="s">
        <v>97</v>
      </c>
      <c r="C50" s="9" t="s">
        <v>118</v>
      </c>
      <c r="D50" s="13">
        <v>1.1499999999999999</v>
      </c>
      <c r="E50" s="25">
        <v>16663</v>
      </c>
      <c r="F50" s="12">
        <v>30</v>
      </c>
      <c r="G50" s="12">
        <v>1.5</v>
      </c>
      <c r="H50" s="12">
        <f t="shared" si="10"/>
        <v>2</v>
      </c>
      <c r="I50" s="23">
        <v>2020</v>
      </c>
      <c r="J50" s="20">
        <f>HLOOKUP($B$8,Prices!$A$28:$V$29,2,FALSE)/HLOOKUP(I50,Prices!$A$28:$V$29,2,FALSE)</f>
        <v>1</v>
      </c>
      <c r="K50" s="14">
        <f t="shared" ref="K50:K74" si="37">$B$10/(1-(1+$B$10)^(-F50+G50))</f>
        <v>6.6573100313094144E-2</v>
      </c>
      <c r="L50" s="47">
        <f>3600/8760</f>
        <v>0.41095890410958902</v>
      </c>
      <c r="M50" s="5">
        <v>0.5</v>
      </c>
      <c r="N50" s="5">
        <f t="shared" si="11"/>
        <v>0.20547945205479451</v>
      </c>
      <c r="O50" s="16">
        <f t="shared" ref="O50:O74" si="38">J50*SUM(AC50:CT50)*WACC*(1+WACC)^(F50+G50)/((1+WACC)^F50-1)</f>
        <v>91092.834573734697</v>
      </c>
      <c r="P50" s="19">
        <f t="shared" si="35"/>
        <v>91472.150342318084</v>
      </c>
      <c r="Q50" s="6">
        <f t="shared" si="12"/>
        <v>443318.46159217553</v>
      </c>
      <c r="R50" s="34">
        <f t="shared" si="36"/>
        <v>18.981164016446595</v>
      </c>
      <c r="S50" s="13">
        <v>1.98</v>
      </c>
      <c r="T50" s="11">
        <v>0</v>
      </c>
      <c r="U50" s="22">
        <v>1</v>
      </c>
      <c r="V50" s="6">
        <f t="shared" si="13"/>
        <v>0</v>
      </c>
      <c r="W50" s="26">
        <f>S50*J50+V50*HLOOKUP($B$8,Prices!$A$28:$V$29,2,FALSE)/Prices!$J$29</f>
        <v>1.98</v>
      </c>
      <c r="X50" t="s">
        <v>116</v>
      </c>
      <c r="Y50" t="s">
        <v>116</v>
      </c>
      <c r="Z50" t="s">
        <v>115</v>
      </c>
      <c r="AA50" t="s">
        <v>115</v>
      </c>
      <c r="AB50" t="s">
        <v>75</v>
      </c>
      <c r="AC50">
        <f t="shared" si="30"/>
        <v>547619.04761904757</v>
      </c>
      <c r="AD50">
        <f t="shared" si="30"/>
        <v>521541.95011337864</v>
      </c>
      <c r="AE50">
        <f t="shared" si="30"/>
        <v>14394.125904329985</v>
      </c>
      <c r="AF50">
        <f t="shared" si="30"/>
        <v>13708.691337457129</v>
      </c>
      <c r="AG50">
        <f t="shared" si="30"/>
        <v>13055.896511863932</v>
      </c>
      <c r="AH50">
        <f t="shared" si="30"/>
        <v>12434.187154156127</v>
      </c>
      <c r="AI50">
        <f t="shared" si="30"/>
        <v>11842.083003958214</v>
      </c>
      <c r="AJ50">
        <f t="shared" si="30"/>
        <v>11278.174289484014</v>
      </c>
      <c r="AK50">
        <f t="shared" si="30"/>
        <v>10741.118370937156</v>
      </c>
      <c r="AL50">
        <f t="shared" si="30"/>
        <v>10229.636543749672</v>
      </c>
      <c r="AM50">
        <f t="shared" si="31"/>
        <v>9742.5109940473067</v>
      </c>
      <c r="AN50">
        <f t="shared" si="31"/>
        <v>9278.5818990926746</v>
      </c>
      <c r="AO50">
        <f t="shared" si="31"/>
        <v>8836.7446658025456</v>
      </c>
      <c r="AP50">
        <f t="shared" si="31"/>
        <v>8415.9473007643301</v>
      </c>
      <c r="AQ50">
        <f t="shared" si="31"/>
        <v>8015.1879054898363</v>
      </c>
      <c r="AR50">
        <f t="shared" si="31"/>
        <v>7633.5122909427018</v>
      </c>
      <c r="AS50">
        <f t="shared" si="31"/>
        <v>7270.0117056597155</v>
      </c>
      <c r="AT50">
        <f t="shared" si="31"/>
        <v>6923.8206720568714</v>
      </c>
      <c r="AU50">
        <f t="shared" si="31"/>
        <v>6594.1149257684492</v>
      </c>
      <c r="AV50">
        <f t="shared" si="31"/>
        <v>6280.1094531128092</v>
      </c>
      <c r="AW50">
        <f t="shared" si="32"/>
        <v>5981.0566220121991</v>
      </c>
      <c r="AX50">
        <f t="shared" si="32"/>
        <v>5696.2444019163804</v>
      </c>
      <c r="AY50">
        <f t="shared" si="32"/>
        <v>5424.9946684917895</v>
      </c>
      <c r="AZ50">
        <f t="shared" si="32"/>
        <v>5166.6615890398007</v>
      </c>
      <c r="BA50">
        <f t="shared" si="32"/>
        <v>4920.63008479981</v>
      </c>
      <c r="BB50">
        <f t="shared" si="32"/>
        <v>4686.3143664760091</v>
      </c>
      <c r="BC50">
        <f t="shared" si="32"/>
        <v>4463.1565395009611</v>
      </c>
      <c r="BD50">
        <f t="shared" si="32"/>
        <v>4250.6252757152015</v>
      </c>
      <c r="BE50">
        <f t="shared" si="32"/>
        <v>4048.2145483001909</v>
      </c>
      <c r="BF50">
        <f t="shared" si="32"/>
        <v>3855.4424269525643</v>
      </c>
      <c r="BG50">
        <f t="shared" si="33"/>
        <v>3671.8499304310121</v>
      </c>
      <c r="BH50">
        <f t="shared" si="33"/>
        <v>3496.9999337438212</v>
      </c>
      <c r="BI50">
        <f t="shared" si="33"/>
        <v>0</v>
      </c>
      <c r="BJ50">
        <f t="shared" si="33"/>
        <v>0</v>
      </c>
      <c r="BK50">
        <f t="shared" si="33"/>
        <v>0</v>
      </c>
      <c r="BL50">
        <f t="shared" si="33"/>
        <v>0</v>
      </c>
      <c r="BM50">
        <f t="shared" si="33"/>
        <v>0</v>
      </c>
      <c r="BN50">
        <f t="shared" si="33"/>
        <v>0</v>
      </c>
      <c r="BO50">
        <f t="shared" si="33"/>
        <v>0</v>
      </c>
      <c r="BP50">
        <f t="shared" si="33"/>
        <v>0</v>
      </c>
      <c r="BQ50">
        <f t="shared" si="34"/>
        <v>0</v>
      </c>
      <c r="BR50">
        <f t="shared" si="34"/>
        <v>0</v>
      </c>
      <c r="BS50">
        <f t="shared" si="34"/>
        <v>0</v>
      </c>
      <c r="BT50">
        <f t="shared" si="34"/>
        <v>0</v>
      </c>
      <c r="BU50">
        <f t="shared" si="34"/>
        <v>0</v>
      </c>
      <c r="BV50">
        <f t="shared" si="34"/>
        <v>0</v>
      </c>
      <c r="BW50">
        <f t="shared" si="34"/>
        <v>0</v>
      </c>
      <c r="BX50">
        <f t="shared" si="34"/>
        <v>0</v>
      </c>
      <c r="BY50">
        <f t="shared" si="34"/>
        <v>0</v>
      </c>
      <c r="BZ50">
        <f t="shared" si="34"/>
        <v>0</v>
      </c>
      <c r="CA50">
        <f t="shared" si="29"/>
        <v>0</v>
      </c>
      <c r="CB50">
        <f t="shared" si="29"/>
        <v>0</v>
      </c>
      <c r="CC50">
        <f t="shared" si="29"/>
        <v>0</v>
      </c>
      <c r="CD50">
        <f t="shared" si="29"/>
        <v>0</v>
      </c>
      <c r="CE50">
        <f t="shared" si="29"/>
        <v>0</v>
      </c>
      <c r="CF50">
        <f t="shared" si="29"/>
        <v>0</v>
      </c>
      <c r="CG50">
        <f t="shared" si="29"/>
        <v>0</v>
      </c>
      <c r="CH50">
        <f t="shared" si="29"/>
        <v>0</v>
      </c>
      <c r="CI50">
        <f t="shared" si="29"/>
        <v>0</v>
      </c>
      <c r="CJ50">
        <f t="shared" si="29"/>
        <v>0</v>
      </c>
      <c r="CK50">
        <f t="shared" si="29"/>
        <v>0</v>
      </c>
      <c r="CL50">
        <f t="shared" si="29"/>
        <v>0</v>
      </c>
      <c r="CM50">
        <f t="shared" si="29"/>
        <v>0</v>
      </c>
      <c r="CN50">
        <f t="shared" si="29"/>
        <v>0</v>
      </c>
      <c r="CO50">
        <f t="shared" si="29"/>
        <v>0</v>
      </c>
      <c r="CP50">
        <f t="shared" si="29"/>
        <v>0</v>
      </c>
      <c r="CQ50">
        <f t="shared" si="29"/>
        <v>0</v>
      </c>
      <c r="CR50">
        <f t="shared" si="29"/>
        <v>0</v>
      </c>
      <c r="CS50">
        <f t="shared" si="29"/>
        <v>0</v>
      </c>
      <c r="CT50">
        <f t="shared" si="29"/>
        <v>0</v>
      </c>
    </row>
    <row r="51" spans="1:98" x14ac:dyDescent="0.25">
      <c r="A51" t="s">
        <v>57</v>
      </c>
      <c r="B51" t="s">
        <v>100</v>
      </c>
      <c r="C51" s="9" t="s">
        <v>118</v>
      </c>
      <c r="D51" s="13">
        <v>3.84</v>
      </c>
      <c r="E51" s="25">
        <v>95704</v>
      </c>
      <c r="F51" s="12">
        <v>20</v>
      </c>
      <c r="G51" s="12">
        <v>1</v>
      </c>
      <c r="H51" s="12">
        <f t="shared" si="10"/>
        <v>1</v>
      </c>
      <c r="I51" s="23">
        <v>2020</v>
      </c>
      <c r="J51" s="20">
        <f>HLOOKUP($B$8,Prices!$A$28:$V$29,2,FALSE)/HLOOKUP(I51,Prices!$A$28:$V$29,2,FALSE)</f>
        <v>1</v>
      </c>
      <c r="K51" s="14">
        <f t="shared" si="37"/>
        <v>8.2745010381756232E-2</v>
      </c>
      <c r="L51" s="47">
        <f>2000/8760</f>
        <v>0.22831050228310501</v>
      </c>
      <c r="M51" s="5">
        <v>0.5</v>
      </c>
      <c r="N51" s="5">
        <f t="shared" si="11"/>
        <v>0.11415525114155251</v>
      </c>
      <c r="O51" s="16">
        <f t="shared" si="38"/>
        <v>403835.53481225466</v>
      </c>
      <c r="P51" s="19">
        <f t="shared" si="35"/>
        <v>403835.53481225466</v>
      </c>
      <c r="Q51" s="6">
        <f t="shared" si="12"/>
        <v>3537599.2849553511</v>
      </c>
      <c r="R51" s="34">
        <f t="shared" si="36"/>
        <v>151.4661762811343</v>
      </c>
      <c r="S51" s="13">
        <v>0</v>
      </c>
      <c r="T51" s="11">
        <v>0</v>
      </c>
      <c r="U51" s="22">
        <v>1</v>
      </c>
      <c r="V51" s="6">
        <f t="shared" si="13"/>
        <v>0</v>
      </c>
      <c r="W51" s="26">
        <f>S51*J51+V51*HLOOKUP($B$8,Prices!$A$28:$V$29,2,FALSE)/Prices!$J$29</f>
        <v>0</v>
      </c>
      <c r="X51" t="s">
        <v>116</v>
      </c>
      <c r="Y51" t="s">
        <v>116</v>
      </c>
      <c r="Z51" t="s">
        <v>115</v>
      </c>
      <c r="AA51" t="s">
        <v>115</v>
      </c>
      <c r="AB51" t="s">
        <v>75</v>
      </c>
      <c r="AC51">
        <f t="shared" si="30"/>
        <v>3657142.8571428568</v>
      </c>
      <c r="AD51">
        <f t="shared" si="30"/>
        <v>86806.349206349201</v>
      </c>
      <c r="AE51">
        <f t="shared" si="30"/>
        <v>82672.713529856381</v>
      </c>
      <c r="AF51">
        <f t="shared" si="30"/>
        <v>78735.917647482274</v>
      </c>
      <c r="AG51">
        <f t="shared" si="30"/>
        <v>74986.588235697389</v>
      </c>
      <c r="AH51">
        <f t="shared" si="30"/>
        <v>71415.798319711816</v>
      </c>
      <c r="AI51">
        <f t="shared" si="30"/>
        <v>68015.046018773137</v>
      </c>
      <c r="AJ51">
        <f t="shared" si="30"/>
        <v>64776.234303593475</v>
      </c>
      <c r="AK51">
        <f t="shared" si="30"/>
        <v>61691.651717708068</v>
      </c>
      <c r="AL51">
        <f t="shared" si="30"/>
        <v>58753.954016864831</v>
      </c>
      <c r="AM51">
        <f t="shared" si="31"/>
        <v>55956.146682728402</v>
      </c>
      <c r="AN51">
        <f t="shared" si="31"/>
        <v>53291.568269265154</v>
      </c>
      <c r="AO51">
        <f t="shared" si="31"/>
        <v>50753.874542157282</v>
      </c>
      <c r="AP51">
        <f t="shared" si="31"/>
        <v>48337.023373483134</v>
      </c>
      <c r="AQ51">
        <f t="shared" si="31"/>
        <v>46035.260355698214</v>
      </c>
      <c r="AR51">
        <f t="shared" si="31"/>
        <v>43843.105100664965</v>
      </c>
      <c r="AS51">
        <f t="shared" si="31"/>
        <v>41755.338191109484</v>
      </c>
      <c r="AT51">
        <f t="shared" si="31"/>
        <v>39766.98875343761</v>
      </c>
      <c r="AU51">
        <f t="shared" si="31"/>
        <v>37873.322622321532</v>
      </c>
      <c r="AV51">
        <f t="shared" si="31"/>
        <v>36069.831068877647</v>
      </c>
      <c r="AW51">
        <f t="shared" si="32"/>
        <v>34352.220065597765</v>
      </c>
      <c r="AX51">
        <f t="shared" si="32"/>
        <v>0</v>
      </c>
      <c r="AY51">
        <f t="shared" si="32"/>
        <v>0</v>
      </c>
      <c r="AZ51">
        <f t="shared" si="32"/>
        <v>0</v>
      </c>
      <c r="BA51">
        <f t="shared" si="32"/>
        <v>0</v>
      </c>
      <c r="BB51">
        <f t="shared" si="32"/>
        <v>0</v>
      </c>
      <c r="BC51">
        <f t="shared" si="32"/>
        <v>0</v>
      </c>
      <c r="BD51">
        <f t="shared" si="32"/>
        <v>0</v>
      </c>
      <c r="BE51">
        <f t="shared" si="32"/>
        <v>0</v>
      </c>
      <c r="BF51">
        <f t="shared" si="32"/>
        <v>0</v>
      </c>
      <c r="BG51">
        <f t="shared" si="33"/>
        <v>0</v>
      </c>
      <c r="BH51">
        <f t="shared" si="33"/>
        <v>0</v>
      </c>
      <c r="BI51">
        <f t="shared" si="33"/>
        <v>0</v>
      </c>
      <c r="BJ51">
        <f t="shared" si="33"/>
        <v>0</v>
      </c>
      <c r="BK51">
        <f t="shared" si="33"/>
        <v>0</v>
      </c>
      <c r="BL51">
        <f t="shared" si="33"/>
        <v>0</v>
      </c>
      <c r="BM51">
        <f t="shared" si="33"/>
        <v>0</v>
      </c>
      <c r="BN51">
        <f t="shared" si="33"/>
        <v>0</v>
      </c>
      <c r="BO51">
        <f t="shared" si="33"/>
        <v>0</v>
      </c>
      <c r="BP51">
        <f t="shared" si="33"/>
        <v>0</v>
      </c>
      <c r="BQ51">
        <f t="shared" si="34"/>
        <v>0</v>
      </c>
      <c r="BR51">
        <f t="shared" si="34"/>
        <v>0</v>
      </c>
      <c r="BS51">
        <f t="shared" si="34"/>
        <v>0</v>
      </c>
      <c r="BT51">
        <f t="shared" si="34"/>
        <v>0</v>
      </c>
      <c r="BU51">
        <f t="shared" si="34"/>
        <v>0</v>
      </c>
      <c r="BV51">
        <f t="shared" si="34"/>
        <v>0</v>
      </c>
      <c r="BW51">
        <f t="shared" si="34"/>
        <v>0</v>
      </c>
      <c r="BX51">
        <f t="shared" si="34"/>
        <v>0</v>
      </c>
      <c r="BY51">
        <f t="shared" si="34"/>
        <v>0</v>
      </c>
      <c r="BZ51">
        <f t="shared" si="34"/>
        <v>0</v>
      </c>
      <c r="CA51">
        <f t="shared" si="29"/>
        <v>0</v>
      </c>
      <c r="CB51">
        <f t="shared" si="29"/>
        <v>0</v>
      </c>
      <c r="CC51">
        <f t="shared" si="29"/>
        <v>0</v>
      </c>
      <c r="CD51">
        <f t="shared" si="29"/>
        <v>0</v>
      </c>
      <c r="CE51">
        <f t="shared" si="29"/>
        <v>0</v>
      </c>
      <c r="CF51">
        <f t="shared" si="29"/>
        <v>0</v>
      </c>
      <c r="CG51">
        <f t="shared" si="29"/>
        <v>0</v>
      </c>
      <c r="CH51">
        <f t="shared" si="29"/>
        <v>0</v>
      </c>
      <c r="CI51">
        <f t="shared" si="29"/>
        <v>0</v>
      </c>
      <c r="CJ51">
        <f t="shared" si="29"/>
        <v>0</v>
      </c>
      <c r="CK51">
        <f t="shared" si="29"/>
        <v>0</v>
      </c>
      <c r="CL51">
        <f t="shared" si="29"/>
        <v>0</v>
      </c>
      <c r="CM51">
        <f t="shared" si="29"/>
        <v>0</v>
      </c>
      <c r="CN51">
        <f t="shared" si="29"/>
        <v>0</v>
      </c>
      <c r="CO51">
        <f t="shared" si="29"/>
        <v>0</v>
      </c>
      <c r="CP51">
        <f t="shared" si="29"/>
        <v>0</v>
      </c>
      <c r="CQ51">
        <f t="shared" si="29"/>
        <v>0</v>
      </c>
      <c r="CR51">
        <f t="shared" si="29"/>
        <v>0</v>
      </c>
      <c r="CS51">
        <f t="shared" si="29"/>
        <v>0</v>
      </c>
      <c r="CT51">
        <f t="shared" si="29"/>
        <v>0</v>
      </c>
    </row>
    <row r="52" spans="1:98" x14ac:dyDescent="0.25">
      <c r="A52" t="s">
        <v>58</v>
      </c>
      <c r="B52" t="s">
        <v>98</v>
      </c>
      <c r="C52" s="9" t="s">
        <v>118</v>
      </c>
      <c r="D52" s="13">
        <v>1.8</v>
      </c>
      <c r="E52" s="25">
        <v>39000</v>
      </c>
      <c r="F52" s="12">
        <v>30</v>
      </c>
      <c r="G52" s="12">
        <v>2.5</v>
      </c>
      <c r="H52" s="12">
        <f t="shared" si="10"/>
        <v>3</v>
      </c>
      <c r="I52" s="23">
        <v>2020</v>
      </c>
      <c r="J52" s="20">
        <f>HLOOKUP($B$8,Prices!$A$28:$V$29,2,FALSE)/HLOOKUP(I52,Prices!$A$28:$V$29,2,FALSE)</f>
        <v>1</v>
      </c>
      <c r="K52" s="14">
        <f t="shared" si="37"/>
        <v>6.7695016614136808E-2</v>
      </c>
      <c r="L52" s="47">
        <f>4800/8760</f>
        <v>0.54794520547945202</v>
      </c>
      <c r="M52" s="5">
        <v>0.5</v>
      </c>
      <c r="N52" s="5">
        <f t="shared" si="11"/>
        <v>0.27397260273972601</v>
      </c>
      <c r="O52" s="16">
        <f t="shared" si="38"/>
        <v>158139.52184942336</v>
      </c>
      <c r="P52" s="19">
        <f t="shared" si="35"/>
        <v>156092.58314449785</v>
      </c>
      <c r="Q52" s="6">
        <f t="shared" si="12"/>
        <v>577209.25475039531</v>
      </c>
      <c r="R52" s="34">
        <f t="shared" si="36"/>
        <v>24.713844528106005</v>
      </c>
      <c r="S52" s="13">
        <v>3.89</v>
      </c>
      <c r="T52" s="11">
        <v>0</v>
      </c>
      <c r="U52" s="22">
        <v>1</v>
      </c>
      <c r="V52" s="6">
        <f t="shared" si="13"/>
        <v>0</v>
      </c>
      <c r="W52" s="26">
        <f>S52*J52+V52*HLOOKUP($B$8,Prices!$A$28:$V$29,2,FALSE)/Prices!$J$29</f>
        <v>3.89</v>
      </c>
      <c r="X52" t="s">
        <v>116</v>
      </c>
      <c r="Y52" t="s">
        <v>116</v>
      </c>
      <c r="Z52" t="s">
        <v>115</v>
      </c>
      <c r="AA52" t="s">
        <v>115</v>
      </c>
      <c r="AB52" t="s">
        <v>75</v>
      </c>
      <c r="AC52">
        <f t="shared" si="30"/>
        <v>571428.57142857136</v>
      </c>
      <c r="AD52">
        <f t="shared" si="30"/>
        <v>544217.68707482994</v>
      </c>
      <c r="AE52">
        <f t="shared" si="30"/>
        <v>518302.55911888561</v>
      </c>
      <c r="AF52">
        <f t="shared" si="30"/>
        <v>32085.396516883397</v>
      </c>
      <c r="AG52">
        <f t="shared" si="30"/>
        <v>30557.520492269898</v>
      </c>
      <c r="AH52">
        <f t="shared" si="30"/>
        <v>29102.40046882848</v>
      </c>
      <c r="AI52">
        <f t="shared" si="30"/>
        <v>27716.571875074736</v>
      </c>
      <c r="AJ52">
        <f t="shared" si="30"/>
        <v>26396.735119118799</v>
      </c>
      <c r="AK52">
        <f t="shared" si="30"/>
        <v>25139.747732494096</v>
      </c>
      <c r="AL52">
        <f t="shared" si="30"/>
        <v>23942.616888089615</v>
      </c>
      <c r="AM52">
        <f t="shared" si="31"/>
        <v>22802.492274371059</v>
      </c>
      <c r="AN52">
        <f t="shared" si="31"/>
        <v>21716.65930892482</v>
      </c>
      <c r="AO52">
        <f t="shared" si="31"/>
        <v>20682.532675166491</v>
      </c>
      <c r="AP52">
        <f t="shared" si="31"/>
        <v>19697.650166825235</v>
      </c>
      <c r="AQ52">
        <f t="shared" si="31"/>
        <v>18759.666825547836</v>
      </c>
      <c r="AR52">
        <f t="shared" si="31"/>
        <v>17866.349357664607</v>
      </c>
      <c r="AS52">
        <f t="shared" si="31"/>
        <v>17015.570816823434</v>
      </c>
      <c r="AT52">
        <f t="shared" si="31"/>
        <v>16205.305539831843</v>
      </c>
      <c r="AU52">
        <f t="shared" si="31"/>
        <v>15433.624323649374</v>
      </c>
      <c r="AV52">
        <f t="shared" si="31"/>
        <v>14698.689832047023</v>
      </c>
      <c r="AW52">
        <f t="shared" si="32"/>
        <v>13998.752220997165</v>
      </c>
      <c r="AX52">
        <f t="shared" si="32"/>
        <v>13332.144972378253</v>
      </c>
      <c r="AY52">
        <f t="shared" si="32"/>
        <v>12697.280926074525</v>
      </c>
      <c r="AZ52">
        <f t="shared" si="32"/>
        <v>12092.648501023359</v>
      </c>
      <c r="BA52">
        <f t="shared" si="32"/>
        <v>11516.808096212722</v>
      </c>
      <c r="BB52">
        <f t="shared" si="32"/>
        <v>10968.388663059735</v>
      </c>
      <c r="BC52">
        <f t="shared" si="32"/>
        <v>10446.08444100927</v>
      </c>
      <c r="BD52">
        <f t="shared" si="32"/>
        <v>9948.651848580259</v>
      </c>
      <c r="BE52">
        <f t="shared" si="32"/>
        <v>9474.9065224573878</v>
      </c>
      <c r="BF52">
        <f t="shared" si="32"/>
        <v>9023.720497578468</v>
      </c>
      <c r="BG52">
        <f t="shared" si="33"/>
        <v>8594.0195215033</v>
      </c>
      <c r="BH52">
        <f t="shared" si="33"/>
        <v>8184.7804966698095</v>
      </c>
      <c r="BI52">
        <f t="shared" si="33"/>
        <v>7795.0290444474376</v>
      </c>
      <c r="BJ52">
        <f t="shared" si="33"/>
        <v>0</v>
      </c>
      <c r="BK52">
        <f t="shared" si="33"/>
        <v>0</v>
      </c>
      <c r="BL52">
        <f t="shared" si="33"/>
        <v>0</v>
      </c>
      <c r="BM52">
        <f t="shared" si="33"/>
        <v>0</v>
      </c>
      <c r="BN52">
        <f t="shared" si="33"/>
        <v>0</v>
      </c>
      <c r="BO52">
        <f t="shared" si="33"/>
        <v>0</v>
      </c>
      <c r="BP52">
        <f t="shared" si="33"/>
        <v>0</v>
      </c>
      <c r="BQ52">
        <f t="shared" si="34"/>
        <v>0</v>
      </c>
      <c r="BR52">
        <f t="shared" si="34"/>
        <v>0</v>
      </c>
      <c r="BS52">
        <f t="shared" si="34"/>
        <v>0</v>
      </c>
      <c r="BT52">
        <f t="shared" si="34"/>
        <v>0</v>
      </c>
      <c r="BU52">
        <f t="shared" si="34"/>
        <v>0</v>
      </c>
      <c r="BV52">
        <f t="shared" si="34"/>
        <v>0</v>
      </c>
      <c r="BW52">
        <f t="shared" si="34"/>
        <v>0</v>
      </c>
      <c r="BX52">
        <f t="shared" si="34"/>
        <v>0</v>
      </c>
      <c r="BY52">
        <f t="shared" si="34"/>
        <v>0</v>
      </c>
      <c r="BZ52">
        <f t="shared" si="34"/>
        <v>0</v>
      </c>
      <c r="CA52">
        <f t="shared" si="29"/>
        <v>0</v>
      </c>
      <c r="CB52">
        <f t="shared" si="29"/>
        <v>0</v>
      </c>
      <c r="CC52">
        <f t="shared" si="29"/>
        <v>0</v>
      </c>
      <c r="CD52">
        <f t="shared" si="29"/>
        <v>0</v>
      </c>
      <c r="CE52">
        <f t="shared" si="29"/>
        <v>0</v>
      </c>
      <c r="CF52">
        <f t="shared" si="29"/>
        <v>0</v>
      </c>
      <c r="CG52">
        <f t="shared" si="29"/>
        <v>0</v>
      </c>
      <c r="CH52">
        <f t="shared" si="29"/>
        <v>0</v>
      </c>
      <c r="CI52">
        <f t="shared" si="29"/>
        <v>0</v>
      </c>
      <c r="CJ52">
        <f t="shared" si="29"/>
        <v>0</v>
      </c>
      <c r="CK52">
        <f t="shared" si="29"/>
        <v>0</v>
      </c>
      <c r="CL52">
        <f t="shared" si="29"/>
        <v>0</v>
      </c>
      <c r="CM52">
        <f t="shared" si="29"/>
        <v>0</v>
      </c>
      <c r="CN52">
        <f t="shared" si="29"/>
        <v>0</v>
      </c>
      <c r="CO52">
        <f t="shared" si="29"/>
        <v>0</v>
      </c>
      <c r="CP52">
        <f t="shared" si="29"/>
        <v>0</v>
      </c>
      <c r="CQ52">
        <f t="shared" si="29"/>
        <v>0</v>
      </c>
      <c r="CR52">
        <f t="shared" si="29"/>
        <v>0</v>
      </c>
      <c r="CS52">
        <f t="shared" si="29"/>
        <v>0</v>
      </c>
      <c r="CT52">
        <f t="shared" si="29"/>
        <v>0</v>
      </c>
    </row>
    <row r="53" spans="1:98" x14ac:dyDescent="0.25">
      <c r="A53" t="s">
        <v>59</v>
      </c>
      <c r="B53" t="s">
        <v>205</v>
      </c>
      <c r="C53" s="9" t="s">
        <v>118</v>
      </c>
      <c r="D53" s="13">
        <v>1.38</v>
      </c>
      <c r="E53" s="25">
        <v>39000</v>
      </c>
      <c r="F53" s="12">
        <v>30</v>
      </c>
      <c r="G53" s="12">
        <v>2.5</v>
      </c>
      <c r="H53" s="12">
        <f t="shared" si="10"/>
        <v>3</v>
      </c>
      <c r="I53" s="23">
        <v>2020</v>
      </c>
      <c r="J53" s="20">
        <f>HLOOKUP($B$8,Prices!$A$28:$V$29,2,FALSE)/HLOOKUP(I53,Prices!$A$28:$V$29,2,FALSE)</f>
        <v>1</v>
      </c>
      <c r="K53" s="14">
        <f t="shared" si="37"/>
        <v>6.7695016614136808E-2</v>
      </c>
      <c r="L53" s="47">
        <f>4450/8760</f>
        <v>0.50799086757990863</v>
      </c>
      <c r="M53" s="5">
        <v>0.5</v>
      </c>
      <c r="N53" s="5">
        <f t="shared" si="11"/>
        <v>0.25399543378995432</v>
      </c>
      <c r="O53" s="16">
        <f t="shared" si="38"/>
        <v>130120.99074838955</v>
      </c>
      <c r="P53" s="19">
        <f t="shared" si="35"/>
        <v>128770.98041078169</v>
      </c>
      <c r="Q53" s="6">
        <f t="shared" si="12"/>
        <v>512296.57481163711</v>
      </c>
      <c r="R53" s="34">
        <f t="shared" si="36"/>
        <v>21.934537254866072</v>
      </c>
      <c r="S53" s="13">
        <v>3.89</v>
      </c>
      <c r="T53" s="11">
        <v>0</v>
      </c>
      <c r="U53" s="22">
        <v>1</v>
      </c>
      <c r="V53" s="6">
        <f t="shared" si="13"/>
        <v>0</v>
      </c>
      <c r="W53" s="26">
        <f>S53*J53+V53*HLOOKUP($B$8,Prices!$A$28:$V$29,2,FALSE)/Prices!$J$29</f>
        <v>3.89</v>
      </c>
      <c r="X53" t="s">
        <v>116</v>
      </c>
      <c r="Y53" t="s">
        <v>116</v>
      </c>
      <c r="Z53" t="s">
        <v>115</v>
      </c>
      <c r="AA53" t="s">
        <v>115</v>
      </c>
      <c r="AB53" t="s">
        <v>75</v>
      </c>
      <c r="AC53">
        <f t="shared" si="30"/>
        <v>438095.23809523805</v>
      </c>
      <c r="AD53">
        <f t="shared" si="30"/>
        <v>417233.56009070296</v>
      </c>
      <c r="AE53">
        <f t="shared" si="30"/>
        <v>397365.29532447894</v>
      </c>
      <c r="AF53">
        <f t="shared" si="30"/>
        <v>32085.396516883397</v>
      </c>
      <c r="AG53">
        <f t="shared" si="30"/>
        <v>30557.520492269898</v>
      </c>
      <c r="AH53">
        <f t="shared" si="30"/>
        <v>29102.40046882848</v>
      </c>
      <c r="AI53">
        <f t="shared" si="30"/>
        <v>27716.571875074736</v>
      </c>
      <c r="AJ53">
        <f t="shared" si="30"/>
        <v>26396.735119118799</v>
      </c>
      <c r="AK53">
        <f t="shared" si="30"/>
        <v>25139.747732494096</v>
      </c>
      <c r="AL53">
        <f t="shared" si="30"/>
        <v>23942.616888089615</v>
      </c>
      <c r="AM53">
        <f t="shared" si="31"/>
        <v>22802.492274371059</v>
      </c>
      <c r="AN53">
        <f t="shared" si="31"/>
        <v>21716.65930892482</v>
      </c>
      <c r="AO53">
        <f t="shared" si="31"/>
        <v>20682.532675166491</v>
      </c>
      <c r="AP53">
        <f t="shared" si="31"/>
        <v>19697.650166825235</v>
      </c>
      <c r="AQ53">
        <f t="shared" si="31"/>
        <v>18759.666825547836</v>
      </c>
      <c r="AR53">
        <f t="shared" si="31"/>
        <v>17866.349357664607</v>
      </c>
      <c r="AS53">
        <f t="shared" si="31"/>
        <v>17015.570816823434</v>
      </c>
      <c r="AT53">
        <f t="shared" si="31"/>
        <v>16205.305539831843</v>
      </c>
      <c r="AU53">
        <f t="shared" si="31"/>
        <v>15433.624323649374</v>
      </c>
      <c r="AV53">
        <f t="shared" si="31"/>
        <v>14698.689832047023</v>
      </c>
      <c r="AW53">
        <f t="shared" si="32"/>
        <v>13998.752220997165</v>
      </c>
      <c r="AX53">
        <f t="shared" si="32"/>
        <v>13332.144972378253</v>
      </c>
      <c r="AY53">
        <f t="shared" si="32"/>
        <v>12697.280926074525</v>
      </c>
      <c r="AZ53">
        <f t="shared" si="32"/>
        <v>12092.648501023359</v>
      </c>
      <c r="BA53">
        <f t="shared" si="32"/>
        <v>11516.808096212722</v>
      </c>
      <c r="BB53">
        <f t="shared" si="32"/>
        <v>10968.388663059735</v>
      </c>
      <c r="BC53">
        <f t="shared" si="32"/>
        <v>10446.08444100927</v>
      </c>
      <c r="BD53">
        <f t="shared" si="32"/>
        <v>9948.651848580259</v>
      </c>
      <c r="BE53">
        <f t="shared" si="32"/>
        <v>9474.9065224573878</v>
      </c>
      <c r="BF53">
        <f t="shared" si="32"/>
        <v>9023.720497578468</v>
      </c>
      <c r="BG53">
        <f t="shared" si="33"/>
        <v>8594.0195215033</v>
      </c>
      <c r="BH53">
        <f t="shared" si="33"/>
        <v>8184.7804966698095</v>
      </c>
      <c r="BI53">
        <f t="shared" si="33"/>
        <v>7795.0290444474376</v>
      </c>
      <c r="BJ53">
        <f t="shared" si="33"/>
        <v>0</v>
      </c>
      <c r="BK53">
        <f t="shared" si="33"/>
        <v>0</v>
      </c>
      <c r="BL53">
        <f t="shared" si="33"/>
        <v>0</v>
      </c>
      <c r="BM53">
        <f t="shared" si="33"/>
        <v>0</v>
      </c>
      <c r="BN53">
        <f t="shared" si="33"/>
        <v>0</v>
      </c>
      <c r="BO53">
        <f t="shared" si="33"/>
        <v>0</v>
      </c>
      <c r="BP53">
        <f t="shared" si="33"/>
        <v>0</v>
      </c>
      <c r="BQ53">
        <f t="shared" si="34"/>
        <v>0</v>
      </c>
      <c r="BR53">
        <f t="shared" si="34"/>
        <v>0</v>
      </c>
      <c r="BS53">
        <f t="shared" si="34"/>
        <v>0</v>
      </c>
      <c r="BT53">
        <f t="shared" si="34"/>
        <v>0</v>
      </c>
      <c r="BU53">
        <f t="shared" si="34"/>
        <v>0</v>
      </c>
      <c r="BV53">
        <f t="shared" si="34"/>
        <v>0</v>
      </c>
      <c r="BW53">
        <f t="shared" si="34"/>
        <v>0</v>
      </c>
      <c r="BX53">
        <f t="shared" si="34"/>
        <v>0</v>
      </c>
      <c r="BY53">
        <f t="shared" si="34"/>
        <v>0</v>
      </c>
      <c r="BZ53">
        <f t="shared" si="34"/>
        <v>0</v>
      </c>
      <c r="CA53">
        <f t="shared" si="29"/>
        <v>0</v>
      </c>
      <c r="CB53">
        <f t="shared" si="29"/>
        <v>0</v>
      </c>
      <c r="CC53">
        <f t="shared" si="29"/>
        <v>0</v>
      </c>
      <c r="CD53">
        <f t="shared" si="29"/>
        <v>0</v>
      </c>
      <c r="CE53">
        <f t="shared" si="29"/>
        <v>0</v>
      </c>
      <c r="CF53">
        <f t="shared" si="29"/>
        <v>0</v>
      </c>
      <c r="CG53">
        <f t="shared" si="29"/>
        <v>0</v>
      </c>
      <c r="CH53">
        <f t="shared" si="29"/>
        <v>0</v>
      </c>
      <c r="CI53">
        <f t="shared" si="29"/>
        <v>0</v>
      </c>
      <c r="CJ53">
        <f t="shared" si="29"/>
        <v>0</v>
      </c>
      <c r="CK53">
        <f t="shared" si="29"/>
        <v>0</v>
      </c>
      <c r="CL53">
        <f t="shared" si="29"/>
        <v>0</v>
      </c>
      <c r="CM53">
        <f t="shared" si="29"/>
        <v>0</v>
      </c>
      <c r="CN53">
        <f t="shared" si="29"/>
        <v>0</v>
      </c>
      <c r="CO53">
        <f t="shared" si="29"/>
        <v>0</v>
      </c>
      <c r="CP53">
        <f t="shared" si="29"/>
        <v>0</v>
      </c>
      <c r="CQ53">
        <f t="shared" si="29"/>
        <v>0</v>
      </c>
      <c r="CR53">
        <f t="shared" si="29"/>
        <v>0</v>
      </c>
      <c r="CS53">
        <f t="shared" si="29"/>
        <v>0</v>
      </c>
      <c r="CT53">
        <f t="shared" si="29"/>
        <v>0</v>
      </c>
    </row>
    <row r="54" spans="1:98" x14ac:dyDescent="0.25">
      <c r="A54" t="s">
        <v>60</v>
      </c>
      <c r="B54" t="s">
        <v>217</v>
      </c>
      <c r="C54" s="9" t="s">
        <v>118</v>
      </c>
      <c r="D54" s="13">
        <v>0.84</v>
      </c>
      <c r="E54" s="48">
        <v>10700</v>
      </c>
      <c r="F54" s="12">
        <v>40</v>
      </c>
      <c r="G54" s="12">
        <v>1</v>
      </c>
      <c r="H54" s="12">
        <f t="shared" si="10"/>
        <v>1</v>
      </c>
      <c r="I54" s="23">
        <v>2020</v>
      </c>
      <c r="J54" s="20">
        <f>HLOOKUP($B$8,Prices!$A$28:$V$29,2,FALSE)/HLOOKUP(I54,Prices!$A$28:$V$29,2,FALSE)</f>
        <v>1</v>
      </c>
      <c r="K54" s="14">
        <f t="shared" si="37"/>
        <v>5.8764624195990892E-2</v>
      </c>
      <c r="L54" s="47">
        <f>1172/8760</f>
        <v>0.13378995433789953</v>
      </c>
      <c r="M54" s="5">
        <v>0.5</v>
      </c>
      <c r="N54" s="5">
        <f t="shared" si="11"/>
        <v>6.6894977168949765E-2</v>
      </c>
      <c r="O54" s="16">
        <f t="shared" si="38"/>
        <v>59653.655379469405</v>
      </c>
      <c r="P54" s="19">
        <f t="shared" si="35"/>
        <v>59653.655379469397</v>
      </c>
      <c r="Q54" s="6">
        <f t="shared" si="12"/>
        <v>891750.88929036178</v>
      </c>
      <c r="R54" s="34">
        <f t="shared" si="36"/>
        <v>38.181288075937907</v>
      </c>
      <c r="S54" s="13">
        <v>0</v>
      </c>
      <c r="T54" s="11">
        <v>0</v>
      </c>
      <c r="U54" s="22">
        <v>1</v>
      </c>
      <c r="V54" s="6">
        <f t="shared" si="13"/>
        <v>0</v>
      </c>
      <c r="W54" s="26">
        <f>S54*J54+V54*HLOOKUP($B$8,Prices!$A$28:$V$29,2,FALSE)/Prices!$J$29</f>
        <v>0</v>
      </c>
      <c r="X54" t="s">
        <v>116</v>
      </c>
      <c r="Y54" t="s">
        <v>116</v>
      </c>
      <c r="Z54" t="s">
        <v>115</v>
      </c>
      <c r="AA54" t="s">
        <v>115</v>
      </c>
      <c r="AB54" t="s">
        <v>75</v>
      </c>
      <c r="AC54">
        <f t="shared" si="30"/>
        <v>800000</v>
      </c>
      <c r="AD54">
        <f t="shared" si="30"/>
        <v>9705.2154195011335</v>
      </c>
      <c r="AE54">
        <f t="shared" si="30"/>
        <v>9243.0623042867937</v>
      </c>
      <c r="AF54">
        <f t="shared" si="30"/>
        <v>8802.9164802731375</v>
      </c>
      <c r="AG54">
        <f t="shared" si="30"/>
        <v>8383.7299812125111</v>
      </c>
      <c r="AH54">
        <f t="shared" si="30"/>
        <v>7984.504744011916</v>
      </c>
      <c r="AI54">
        <f t="shared" si="30"/>
        <v>7604.2902323922999</v>
      </c>
      <c r="AJ54">
        <f t="shared" si="30"/>
        <v>7242.1811737069529</v>
      </c>
      <c r="AK54">
        <f t="shared" si="30"/>
        <v>6897.3154035304306</v>
      </c>
      <c r="AL54">
        <f t="shared" si="30"/>
        <v>6568.8718128861246</v>
      </c>
      <c r="AM54">
        <f t="shared" si="31"/>
        <v>6256.0683932248803</v>
      </c>
      <c r="AN54">
        <f t="shared" si="31"/>
        <v>5958.1603744998865</v>
      </c>
      <c r="AO54">
        <f t="shared" si="31"/>
        <v>5674.4384519046534</v>
      </c>
      <c r="AP54">
        <f t="shared" si="31"/>
        <v>5404.2270970520522</v>
      </c>
      <c r="AQ54">
        <f t="shared" si="31"/>
        <v>5146.8829495733808</v>
      </c>
      <c r="AR54">
        <f t="shared" si="31"/>
        <v>4901.7932853079819</v>
      </c>
      <c r="AS54">
        <f t="shared" si="31"/>
        <v>4668.3745574361728</v>
      </c>
      <c r="AT54">
        <f t="shared" si="31"/>
        <v>4446.0710070820696</v>
      </c>
      <c r="AU54">
        <f t="shared" si="31"/>
        <v>4234.3533400781616</v>
      </c>
      <c r="AV54">
        <f t="shared" si="31"/>
        <v>4032.7174667411064</v>
      </c>
      <c r="AW54">
        <f t="shared" si="32"/>
        <v>3840.6833016581968</v>
      </c>
      <c r="AX54">
        <f t="shared" si="32"/>
        <v>3657.7936206268541</v>
      </c>
      <c r="AY54">
        <f t="shared" si="32"/>
        <v>3483.6129720255749</v>
      </c>
      <c r="AZ54">
        <f t="shared" si="32"/>
        <v>3317.7266400243575</v>
      </c>
      <c r="BA54">
        <f t="shared" si="32"/>
        <v>3159.7396571660543</v>
      </c>
      <c r="BB54">
        <f t="shared" si="32"/>
        <v>3009.2758639676708</v>
      </c>
      <c r="BC54">
        <f t="shared" si="32"/>
        <v>2865.9770133025436</v>
      </c>
      <c r="BD54">
        <f t="shared" si="32"/>
        <v>2729.5019174309941</v>
      </c>
      <c r="BE54">
        <f t="shared" si="32"/>
        <v>2599.5256356485652</v>
      </c>
      <c r="BF54">
        <f t="shared" si="32"/>
        <v>2475.7387006176823</v>
      </c>
      <c r="BG54">
        <f t="shared" si="33"/>
        <v>2357.8463815406485</v>
      </c>
      <c r="BH54">
        <f t="shared" si="33"/>
        <v>2245.5679824196654</v>
      </c>
      <c r="BI54">
        <f t="shared" si="33"/>
        <v>2138.6361737330149</v>
      </c>
      <c r="BJ54">
        <f t="shared" si="33"/>
        <v>2036.7963559362047</v>
      </c>
      <c r="BK54">
        <f t="shared" si="33"/>
        <v>1939.8060532725756</v>
      </c>
      <c r="BL54">
        <f t="shared" si="33"/>
        <v>1847.4343364500724</v>
      </c>
      <c r="BM54">
        <f t="shared" si="33"/>
        <v>1759.4612728095924</v>
      </c>
      <c r="BN54">
        <f t="shared" si="33"/>
        <v>1675.6774026758026</v>
      </c>
      <c r="BO54">
        <f t="shared" si="33"/>
        <v>1595.8832406436213</v>
      </c>
      <c r="BP54">
        <f t="shared" si="33"/>
        <v>1519.8888006129728</v>
      </c>
      <c r="BQ54">
        <f t="shared" si="34"/>
        <v>1447.5131434409263</v>
      </c>
      <c r="BR54">
        <f t="shared" si="34"/>
        <v>0</v>
      </c>
      <c r="BS54">
        <f t="shared" si="34"/>
        <v>0</v>
      </c>
      <c r="BT54">
        <f t="shared" si="34"/>
        <v>0</v>
      </c>
      <c r="BU54">
        <f t="shared" si="34"/>
        <v>0</v>
      </c>
      <c r="BV54">
        <f t="shared" si="34"/>
        <v>0</v>
      </c>
      <c r="BW54">
        <f t="shared" si="34"/>
        <v>0</v>
      </c>
      <c r="BX54">
        <f t="shared" si="34"/>
        <v>0</v>
      </c>
      <c r="BY54">
        <f t="shared" si="34"/>
        <v>0</v>
      </c>
      <c r="BZ54">
        <f t="shared" si="34"/>
        <v>0</v>
      </c>
      <c r="CA54">
        <f t="shared" si="29"/>
        <v>0</v>
      </c>
      <c r="CB54">
        <f t="shared" si="29"/>
        <v>0</v>
      </c>
      <c r="CC54">
        <f t="shared" si="29"/>
        <v>0</v>
      </c>
      <c r="CD54">
        <f t="shared" si="29"/>
        <v>0</v>
      </c>
      <c r="CE54">
        <f t="shared" si="29"/>
        <v>0</v>
      </c>
      <c r="CF54">
        <f t="shared" si="29"/>
        <v>0</v>
      </c>
      <c r="CG54">
        <f t="shared" si="29"/>
        <v>0</v>
      </c>
      <c r="CH54">
        <f t="shared" si="29"/>
        <v>0</v>
      </c>
      <c r="CI54">
        <f t="shared" si="29"/>
        <v>0</v>
      </c>
      <c r="CJ54">
        <f t="shared" si="29"/>
        <v>0</v>
      </c>
      <c r="CK54">
        <f t="shared" si="29"/>
        <v>0</v>
      </c>
      <c r="CL54">
        <f t="shared" si="29"/>
        <v>0</v>
      </c>
      <c r="CM54">
        <f t="shared" si="29"/>
        <v>0</v>
      </c>
      <c r="CN54">
        <f t="shared" si="29"/>
        <v>0</v>
      </c>
      <c r="CO54">
        <f t="shared" si="29"/>
        <v>0</v>
      </c>
      <c r="CP54">
        <f t="shared" si="29"/>
        <v>0</v>
      </c>
      <c r="CQ54">
        <f t="shared" si="29"/>
        <v>0</v>
      </c>
      <c r="CR54">
        <f t="shared" si="29"/>
        <v>0</v>
      </c>
      <c r="CS54">
        <f t="shared" si="29"/>
        <v>0</v>
      </c>
      <c r="CT54">
        <f t="shared" si="29"/>
        <v>0</v>
      </c>
    </row>
    <row r="55" spans="1:98" x14ac:dyDescent="0.25">
      <c r="A55" t="s">
        <v>61</v>
      </c>
      <c r="B55" t="s">
        <v>207</v>
      </c>
      <c r="C55" s="9" t="s">
        <v>118</v>
      </c>
      <c r="D55" s="13">
        <v>0.56999999999999995</v>
      </c>
      <c r="E55" s="25">
        <v>8900</v>
      </c>
      <c r="F55" s="12">
        <v>40</v>
      </c>
      <c r="G55" s="12">
        <v>1</v>
      </c>
      <c r="H55" s="12">
        <f t="shared" si="10"/>
        <v>1</v>
      </c>
      <c r="I55" s="23">
        <v>2020</v>
      </c>
      <c r="J55" s="20">
        <f>HLOOKUP($B$8,Prices!$A$28:$V$29,2,FALSE)/HLOOKUP(I55,Prices!$A$28:$V$29,2,FALSE)</f>
        <v>1</v>
      </c>
      <c r="K55" s="14">
        <f t="shared" si="37"/>
        <v>5.8764624195990892E-2</v>
      </c>
      <c r="L55" s="47">
        <f>1228/8760</f>
        <v>0.14018264840182648</v>
      </c>
      <c r="M55" s="5">
        <v>0.5</v>
      </c>
      <c r="N55" s="5">
        <f t="shared" si="11"/>
        <v>7.0091324200913241E-2</v>
      </c>
      <c r="O55" s="16">
        <f t="shared" si="38"/>
        <v>42118.551864639965</v>
      </c>
      <c r="P55" s="19">
        <f t="shared" si="35"/>
        <v>42118.551864639951</v>
      </c>
      <c r="Q55" s="6">
        <f t="shared" si="12"/>
        <v>600909.63246619888</v>
      </c>
      <c r="R55" s="34">
        <f t="shared" si="36"/>
        <v>25.72860207973093</v>
      </c>
      <c r="S55" s="13">
        <v>0</v>
      </c>
      <c r="T55" s="11">
        <v>0</v>
      </c>
      <c r="U55" s="22">
        <v>1</v>
      </c>
      <c r="V55" s="6">
        <f t="shared" si="13"/>
        <v>0</v>
      </c>
      <c r="W55" s="26">
        <f>S55*J55+V55*HLOOKUP($B$8,Prices!$A$28:$V$29,2,FALSE)/Prices!$J$29</f>
        <v>0</v>
      </c>
      <c r="X55" t="s">
        <v>116</v>
      </c>
      <c r="Y55" t="s">
        <v>116</v>
      </c>
      <c r="Z55" t="s">
        <v>115</v>
      </c>
      <c r="AA55" t="s">
        <v>115</v>
      </c>
      <c r="AB55" t="s">
        <v>75</v>
      </c>
      <c r="AC55">
        <f t="shared" si="30"/>
        <v>542857.14285714284</v>
      </c>
      <c r="AD55">
        <f t="shared" si="30"/>
        <v>8072.5623582766439</v>
      </c>
      <c r="AE55">
        <f t="shared" si="30"/>
        <v>7688.1546269301361</v>
      </c>
      <c r="AF55">
        <f t="shared" si="30"/>
        <v>7322.0520256477494</v>
      </c>
      <c r="AG55">
        <f t="shared" si="30"/>
        <v>6973.382881569285</v>
      </c>
      <c r="AH55">
        <f t="shared" si="30"/>
        <v>6641.3170300659858</v>
      </c>
      <c r="AI55">
        <f t="shared" si="30"/>
        <v>6325.0638381580811</v>
      </c>
      <c r="AJ55">
        <f t="shared" si="30"/>
        <v>6023.8703220553161</v>
      </c>
      <c r="AK55">
        <f t="shared" si="30"/>
        <v>5737.0193543383957</v>
      </c>
      <c r="AL55">
        <f t="shared" si="30"/>
        <v>5463.8279565127577</v>
      </c>
      <c r="AM55">
        <f t="shared" si="31"/>
        <v>5203.6456728692929</v>
      </c>
      <c r="AN55">
        <f t="shared" si="31"/>
        <v>4955.85302178028</v>
      </c>
      <c r="AO55">
        <f t="shared" si="31"/>
        <v>4719.8600207431227</v>
      </c>
      <c r="AP55">
        <f t="shared" si="31"/>
        <v>4495.1047816601176</v>
      </c>
      <c r="AQ55">
        <f t="shared" si="31"/>
        <v>4281.0521730096343</v>
      </c>
      <c r="AR55">
        <f t="shared" si="31"/>
        <v>4077.192545723462</v>
      </c>
      <c r="AS55">
        <f t="shared" si="31"/>
        <v>3883.0405197366299</v>
      </c>
      <c r="AT55">
        <f t="shared" si="31"/>
        <v>3698.1338283206001</v>
      </c>
      <c r="AU55">
        <f t="shared" si="31"/>
        <v>3522.0322174481903</v>
      </c>
      <c r="AV55">
        <f t="shared" si="31"/>
        <v>3354.3163975697053</v>
      </c>
      <c r="AW55">
        <f t="shared" si="32"/>
        <v>3194.5870453044813</v>
      </c>
      <c r="AX55">
        <f t="shared" si="32"/>
        <v>3042.463852670935</v>
      </c>
      <c r="AY55">
        <f t="shared" si="32"/>
        <v>2897.5846215913657</v>
      </c>
      <c r="AZ55">
        <f t="shared" si="32"/>
        <v>2759.6044015155867</v>
      </c>
      <c r="BA55">
        <f t="shared" si="32"/>
        <v>2628.1946681100826</v>
      </c>
      <c r="BB55">
        <f t="shared" si="32"/>
        <v>2503.0425410572216</v>
      </c>
      <c r="BC55">
        <f t="shared" si="32"/>
        <v>2383.8500391021157</v>
      </c>
      <c r="BD55">
        <f t="shared" si="32"/>
        <v>2270.3333705734435</v>
      </c>
      <c r="BE55">
        <f t="shared" si="32"/>
        <v>2162.2222576889935</v>
      </c>
      <c r="BF55">
        <f t="shared" si="32"/>
        <v>2059.2592930371375</v>
      </c>
      <c r="BG55">
        <f t="shared" si="33"/>
        <v>1961.199326702035</v>
      </c>
      <c r="BH55">
        <f t="shared" si="33"/>
        <v>1867.8088825733666</v>
      </c>
      <c r="BI55">
        <f t="shared" si="33"/>
        <v>1778.8656024508255</v>
      </c>
      <c r="BJ55">
        <f t="shared" si="33"/>
        <v>1694.1577166198338</v>
      </c>
      <c r="BK55">
        <f t="shared" si="33"/>
        <v>1613.4835396379367</v>
      </c>
      <c r="BL55">
        <f t="shared" si="33"/>
        <v>1536.6509901313684</v>
      </c>
      <c r="BM55">
        <f t="shared" si="33"/>
        <v>1463.4771334584461</v>
      </c>
      <c r="BN55">
        <f t="shared" si="33"/>
        <v>1393.7877461509013</v>
      </c>
      <c r="BO55">
        <f t="shared" si="33"/>
        <v>1327.4169010960961</v>
      </c>
      <c r="BP55">
        <f t="shared" si="33"/>
        <v>1264.2065724724728</v>
      </c>
      <c r="BQ55">
        <f t="shared" si="34"/>
        <v>1204.006259497593</v>
      </c>
      <c r="BR55">
        <f t="shared" si="34"/>
        <v>0</v>
      </c>
      <c r="BS55">
        <f t="shared" si="34"/>
        <v>0</v>
      </c>
      <c r="BT55">
        <f t="shared" si="34"/>
        <v>0</v>
      </c>
      <c r="BU55">
        <f t="shared" si="34"/>
        <v>0</v>
      </c>
      <c r="BV55">
        <f t="shared" si="34"/>
        <v>0</v>
      </c>
      <c r="BW55">
        <f t="shared" si="34"/>
        <v>0</v>
      </c>
      <c r="BX55">
        <f t="shared" si="34"/>
        <v>0</v>
      </c>
      <c r="BY55">
        <f t="shared" si="34"/>
        <v>0</v>
      </c>
      <c r="BZ55">
        <f t="shared" si="34"/>
        <v>0</v>
      </c>
      <c r="CA55">
        <f t="shared" si="29"/>
        <v>0</v>
      </c>
      <c r="CB55">
        <f t="shared" si="29"/>
        <v>0</v>
      </c>
      <c r="CC55">
        <f t="shared" si="29"/>
        <v>0</v>
      </c>
      <c r="CD55">
        <f t="shared" si="29"/>
        <v>0</v>
      </c>
      <c r="CE55">
        <f t="shared" si="29"/>
        <v>0</v>
      </c>
      <c r="CF55">
        <f t="shared" si="29"/>
        <v>0</v>
      </c>
      <c r="CG55">
        <f t="shared" si="29"/>
        <v>0</v>
      </c>
      <c r="CH55">
        <f t="shared" si="29"/>
        <v>0</v>
      </c>
      <c r="CI55">
        <f t="shared" si="29"/>
        <v>0</v>
      </c>
      <c r="CJ55">
        <f t="shared" si="29"/>
        <v>0</v>
      </c>
      <c r="CK55">
        <f t="shared" si="29"/>
        <v>0</v>
      </c>
      <c r="CL55">
        <f t="shared" si="29"/>
        <v>0</v>
      </c>
      <c r="CM55">
        <f t="shared" si="29"/>
        <v>0</v>
      </c>
      <c r="CN55">
        <f t="shared" si="29"/>
        <v>0</v>
      </c>
      <c r="CO55">
        <f t="shared" si="29"/>
        <v>0</v>
      </c>
      <c r="CP55">
        <f t="shared" si="29"/>
        <v>0</v>
      </c>
      <c r="CQ55">
        <f t="shared" si="29"/>
        <v>0</v>
      </c>
      <c r="CR55">
        <f t="shared" si="29"/>
        <v>0</v>
      </c>
      <c r="CS55">
        <f t="shared" si="29"/>
        <v>0</v>
      </c>
      <c r="CT55">
        <f t="shared" si="29"/>
        <v>0</v>
      </c>
    </row>
    <row r="56" spans="1:98" x14ac:dyDescent="0.25">
      <c r="A56" t="s">
        <v>62</v>
      </c>
      <c r="B56" t="s">
        <v>206</v>
      </c>
      <c r="C56" s="9" t="s">
        <v>118</v>
      </c>
      <c r="D56" s="13">
        <v>0.38</v>
      </c>
      <c r="E56" s="25">
        <v>9500</v>
      </c>
      <c r="F56" s="12">
        <v>40</v>
      </c>
      <c r="G56" s="12">
        <v>0.5</v>
      </c>
      <c r="H56" s="12">
        <f t="shared" si="10"/>
        <v>1</v>
      </c>
      <c r="I56" s="23">
        <v>2020</v>
      </c>
      <c r="J56" s="20">
        <f>HLOOKUP($B$8,Prices!$A$28:$V$29,2,FALSE)/HLOOKUP(I56,Prices!$A$28:$V$29,2,FALSE)</f>
        <v>1</v>
      </c>
      <c r="K56" s="14">
        <f t="shared" si="37"/>
        <v>5.8517415264183498E-2</v>
      </c>
      <c r="L56" s="47">
        <f>1484/8760</f>
        <v>0.16940639269406393</v>
      </c>
      <c r="M56" s="5">
        <v>0.5</v>
      </c>
      <c r="N56" s="5">
        <f t="shared" si="11"/>
        <v>8.4703196347031967E-2</v>
      </c>
      <c r="O56" s="16">
        <f t="shared" si="38"/>
        <v>30883.04215164229</v>
      </c>
      <c r="P56" s="19">
        <f t="shared" si="35"/>
        <v>31645.701243093299</v>
      </c>
      <c r="Q56" s="6">
        <f t="shared" si="12"/>
        <v>364603.0313320572</v>
      </c>
      <c r="R56" s="34">
        <f t="shared" si="36"/>
        <v>15.610876916228886</v>
      </c>
      <c r="S56" s="13">
        <v>0</v>
      </c>
      <c r="T56" s="11">
        <v>0</v>
      </c>
      <c r="U56" s="22">
        <v>1</v>
      </c>
      <c r="V56" s="6">
        <f t="shared" si="13"/>
        <v>0</v>
      </c>
      <c r="W56" s="26">
        <f>S56*J56+V56*HLOOKUP($B$8,Prices!$A$28:$V$29,2,FALSE)/Prices!$J$29</f>
        <v>0</v>
      </c>
      <c r="X56" t="s">
        <v>116</v>
      </c>
      <c r="Y56" t="s">
        <v>116</v>
      </c>
      <c r="Z56" t="s">
        <v>115</v>
      </c>
      <c r="AA56" t="s">
        <v>115</v>
      </c>
      <c r="AB56" t="s">
        <v>75</v>
      </c>
      <c r="AC56">
        <f t="shared" si="30"/>
        <v>361904.76190476189</v>
      </c>
      <c r="AD56">
        <f t="shared" si="30"/>
        <v>8616.7800453514737</v>
      </c>
      <c r="AE56">
        <f t="shared" si="30"/>
        <v>8206.4571860490214</v>
      </c>
      <c r="AF56">
        <f t="shared" si="30"/>
        <v>7815.673510522879</v>
      </c>
      <c r="AG56">
        <f t="shared" si="30"/>
        <v>7443.4985814503598</v>
      </c>
      <c r="AH56">
        <f t="shared" si="30"/>
        <v>7089.0462680479632</v>
      </c>
      <c r="AI56">
        <f t="shared" si="30"/>
        <v>6751.4726362361534</v>
      </c>
      <c r="AJ56">
        <f t="shared" si="30"/>
        <v>6429.9739392725278</v>
      </c>
      <c r="AK56">
        <f t="shared" si="30"/>
        <v>6123.784704069074</v>
      </c>
      <c r="AL56">
        <f t="shared" si="30"/>
        <v>5832.1759086372131</v>
      </c>
      <c r="AM56">
        <f t="shared" si="31"/>
        <v>5554.4532463211553</v>
      </c>
      <c r="AN56">
        <f t="shared" si="31"/>
        <v>5289.9554726868155</v>
      </c>
      <c r="AO56">
        <f t="shared" si="31"/>
        <v>5038.0528311302996</v>
      </c>
      <c r="AP56">
        <f t="shared" si="31"/>
        <v>4798.1455534574288</v>
      </c>
      <c r="AQ56">
        <f t="shared" si="31"/>
        <v>4569.6624318642171</v>
      </c>
      <c r="AR56">
        <f t="shared" si="31"/>
        <v>4352.059458918302</v>
      </c>
      <c r="AS56">
        <f t="shared" si="31"/>
        <v>4144.8185323031439</v>
      </c>
      <c r="AT56">
        <f t="shared" si="31"/>
        <v>3947.4462212410899</v>
      </c>
      <c r="AU56">
        <f t="shared" si="31"/>
        <v>3759.4725916581806</v>
      </c>
      <c r="AV56">
        <f t="shared" si="31"/>
        <v>3580.4500872935055</v>
      </c>
      <c r="AW56">
        <f t="shared" si="32"/>
        <v>3409.9524640890531</v>
      </c>
      <c r="AX56">
        <f t="shared" si="32"/>
        <v>3247.5737753229077</v>
      </c>
      <c r="AY56">
        <f t="shared" si="32"/>
        <v>3092.9274050694353</v>
      </c>
      <c r="AZ56">
        <f t="shared" si="32"/>
        <v>2945.6451476851771</v>
      </c>
      <c r="BA56">
        <f t="shared" si="32"/>
        <v>2805.3763311287398</v>
      </c>
      <c r="BB56">
        <f t="shared" si="32"/>
        <v>2671.7869820273713</v>
      </c>
      <c r="BC56">
        <f t="shared" si="32"/>
        <v>2544.5590305022583</v>
      </c>
      <c r="BD56">
        <f t="shared" si="32"/>
        <v>2423.3895528592939</v>
      </c>
      <c r="BE56">
        <f t="shared" si="32"/>
        <v>2307.9900503421841</v>
      </c>
      <c r="BF56">
        <f t="shared" si="32"/>
        <v>2198.0857622306526</v>
      </c>
      <c r="BG56">
        <f t="shared" si="33"/>
        <v>2093.4150116482397</v>
      </c>
      <c r="BH56">
        <f t="shared" si="33"/>
        <v>1993.7285825221329</v>
      </c>
      <c r="BI56">
        <f t="shared" si="33"/>
        <v>1898.7891262115552</v>
      </c>
      <c r="BJ56">
        <f t="shared" si="33"/>
        <v>1808.3705963919574</v>
      </c>
      <c r="BK56">
        <f t="shared" si="33"/>
        <v>1722.2577108494829</v>
      </c>
      <c r="BL56">
        <f t="shared" si="33"/>
        <v>1640.2454389042698</v>
      </c>
      <c r="BM56">
        <f t="shared" si="33"/>
        <v>1562.1385132421615</v>
      </c>
      <c r="BN56">
        <f t="shared" si="33"/>
        <v>1487.750964992535</v>
      </c>
      <c r="BO56">
        <f t="shared" si="33"/>
        <v>1416.9056809452711</v>
      </c>
      <c r="BP56">
        <f t="shared" si="33"/>
        <v>1349.4339818526394</v>
      </c>
      <c r="BQ56">
        <f t="shared" si="34"/>
        <v>1285.1752208120374</v>
      </c>
      <c r="BR56">
        <f t="shared" si="34"/>
        <v>0</v>
      </c>
      <c r="BS56">
        <f t="shared" si="34"/>
        <v>0</v>
      </c>
      <c r="BT56">
        <f t="shared" si="34"/>
        <v>0</v>
      </c>
      <c r="BU56">
        <f t="shared" si="34"/>
        <v>0</v>
      </c>
      <c r="BV56">
        <f t="shared" si="34"/>
        <v>0</v>
      </c>
      <c r="BW56">
        <f t="shared" si="34"/>
        <v>0</v>
      </c>
      <c r="BX56">
        <f t="shared" si="34"/>
        <v>0</v>
      </c>
      <c r="BY56">
        <f t="shared" si="34"/>
        <v>0</v>
      </c>
      <c r="BZ56">
        <f t="shared" si="34"/>
        <v>0</v>
      </c>
      <c r="CA56">
        <f t="shared" si="29"/>
        <v>0</v>
      </c>
      <c r="CB56">
        <f t="shared" si="29"/>
        <v>0</v>
      </c>
      <c r="CC56">
        <f t="shared" si="29"/>
        <v>0</v>
      </c>
      <c r="CD56">
        <f t="shared" si="29"/>
        <v>0</v>
      </c>
      <c r="CE56">
        <f t="shared" si="29"/>
        <v>0</v>
      </c>
      <c r="CF56">
        <f t="shared" si="29"/>
        <v>0</v>
      </c>
      <c r="CG56">
        <f t="shared" si="29"/>
        <v>0</v>
      </c>
      <c r="CH56">
        <f t="shared" si="29"/>
        <v>0</v>
      </c>
      <c r="CI56">
        <f t="shared" si="29"/>
        <v>0</v>
      </c>
      <c r="CJ56">
        <f t="shared" ref="CJ56:CT56" si="39">IF(CJ$17&lt;=$H56,1000000*$D56/$H56,IF(CJ$17&lt;=($H56+$F56),$E56,0))/(1+WACC)^CJ$17</f>
        <v>0</v>
      </c>
      <c r="CK56">
        <f t="shared" si="39"/>
        <v>0</v>
      </c>
      <c r="CL56">
        <f t="shared" si="39"/>
        <v>0</v>
      </c>
      <c r="CM56">
        <f t="shared" si="39"/>
        <v>0</v>
      </c>
      <c r="CN56">
        <f t="shared" si="39"/>
        <v>0</v>
      </c>
      <c r="CO56">
        <f t="shared" si="39"/>
        <v>0</v>
      </c>
      <c r="CP56">
        <f t="shared" si="39"/>
        <v>0</v>
      </c>
      <c r="CQ56">
        <f t="shared" si="39"/>
        <v>0</v>
      </c>
      <c r="CR56">
        <f t="shared" si="39"/>
        <v>0</v>
      </c>
      <c r="CS56">
        <f t="shared" si="39"/>
        <v>0</v>
      </c>
      <c r="CT56">
        <f t="shared" si="39"/>
        <v>0</v>
      </c>
    </row>
    <row r="57" spans="1:98" hidden="1" x14ac:dyDescent="0.25">
      <c r="A57" s="35" t="s">
        <v>63</v>
      </c>
      <c r="B57" t="s">
        <v>99</v>
      </c>
      <c r="C57" s="9" t="s">
        <v>118</v>
      </c>
      <c r="D57" s="37">
        <v>0.45</v>
      </c>
      <c r="E57" s="38">
        <v>10400</v>
      </c>
      <c r="F57" s="12">
        <v>40</v>
      </c>
      <c r="G57" s="12">
        <v>0.5</v>
      </c>
      <c r="H57" s="12">
        <f t="shared" si="10"/>
        <v>1</v>
      </c>
      <c r="I57" s="39">
        <v>2020</v>
      </c>
      <c r="J57" s="20">
        <f>HLOOKUP($B$8,Prices!$A$28:$V$29,2,FALSE)/HLOOKUP(I57,Prices!$A$28:$V$29,2,FALSE)</f>
        <v>1</v>
      </c>
      <c r="K57" s="14">
        <f t="shared" si="37"/>
        <v>5.8517415264183498E-2</v>
      </c>
      <c r="L57" s="44">
        <f t="shared" ref="L57" si="40">1068/8760</f>
        <v>0.12191780821917808</v>
      </c>
      <c r="M57" s="5">
        <v>0.5</v>
      </c>
      <c r="N57" s="5">
        <f t="shared" si="11"/>
        <v>6.095890410958904E-2</v>
      </c>
      <c r="O57" s="16">
        <f t="shared" si="38"/>
        <v>35742.508538622766</v>
      </c>
      <c r="P57" s="19">
        <f t="shared" si="35"/>
        <v>36625.172524715745</v>
      </c>
      <c r="Q57" s="6">
        <f t="shared" si="12"/>
        <v>586337.7805212274</v>
      </c>
      <c r="R57" s="34">
        <f t="shared" si="36"/>
        <v>25.10469232691462</v>
      </c>
      <c r="S57" s="37">
        <v>0</v>
      </c>
      <c r="T57" s="11">
        <v>0</v>
      </c>
      <c r="U57" s="22">
        <v>1</v>
      </c>
      <c r="V57" s="6">
        <f t="shared" si="13"/>
        <v>0</v>
      </c>
      <c r="W57" s="26">
        <f>S57*J57+V57*HLOOKUP($B$8,Prices!$A$28:$V$29,2,FALSE)/Prices!$J$29</f>
        <v>0</v>
      </c>
      <c r="X57" t="s">
        <v>116</v>
      </c>
      <c r="Y57" t="s">
        <v>116</v>
      </c>
      <c r="Z57" t="s">
        <v>115</v>
      </c>
      <c r="AA57" t="s">
        <v>115</v>
      </c>
      <c r="AB57" t="s">
        <v>75</v>
      </c>
      <c r="AC57">
        <f t="shared" ref="AC57:AL74" si="41">IF(AC$17&lt;=$H57,1000000*$D57/$H57,IF(AC$17&lt;=($H57+$F57),$E57,0))/(1+WACC)^AC$17</f>
        <v>428571.42857142858</v>
      </c>
      <c r="AD57">
        <f t="shared" si="41"/>
        <v>9433.1065759637186</v>
      </c>
      <c r="AE57">
        <f t="shared" si="41"/>
        <v>8983.9110247273511</v>
      </c>
      <c r="AF57">
        <f t="shared" si="41"/>
        <v>8556.1057378355727</v>
      </c>
      <c r="AG57">
        <f t="shared" si="41"/>
        <v>8148.6721312719728</v>
      </c>
      <c r="AH57">
        <f t="shared" si="41"/>
        <v>7760.6401250209274</v>
      </c>
      <c r="AI57">
        <f t="shared" si="41"/>
        <v>7391.0858333532633</v>
      </c>
      <c r="AJ57">
        <f t="shared" si="41"/>
        <v>7039.1293650983471</v>
      </c>
      <c r="AK57">
        <f t="shared" si="41"/>
        <v>6703.9327286650914</v>
      </c>
      <c r="AL57">
        <f t="shared" si="41"/>
        <v>6384.697836823897</v>
      </c>
      <c r="AM57">
        <f t="shared" ref="AM57:AV74" si="42">IF(AM$17&lt;=$H57,1000000*$D57/$H57,IF(AM$17&lt;=($H57+$F57),$E57,0))/(1+WACC)^AM$17</f>
        <v>6080.6646064989491</v>
      </c>
      <c r="AN57">
        <f t="shared" si="42"/>
        <v>5791.1091490466188</v>
      </c>
      <c r="AO57">
        <f t="shared" si="42"/>
        <v>5515.3420467110645</v>
      </c>
      <c r="AP57">
        <f t="shared" si="42"/>
        <v>5252.7067111533961</v>
      </c>
      <c r="AQ57">
        <f t="shared" si="42"/>
        <v>5002.5778201460898</v>
      </c>
      <c r="AR57">
        <f t="shared" si="42"/>
        <v>4764.3598287105624</v>
      </c>
      <c r="AS57">
        <f t="shared" si="42"/>
        <v>4537.4855511529158</v>
      </c>
      <c r="AT57">
        <f t="shared" si="42"/>
        <v>4321.4148106218245</v>
      </c>
      <c r="AU57">
        <f t="shared" si="42"/>
        <v>4115.633152973166</v>
      </c>
      <c r="AV57">
        <f t="shared" si="42"/>
        <v>3919.650621879206</v>
      </c>
      <c r="AW57">
        <f t="shared" ref="AW57:BF74" si="43">IF(AW$17&lt;=$H57,1000000*$D57/$H57,IF(AW$17&lt;=($H57+$F57),$E57,0))/(1+WACC)^AW$17</f>
        <v>3733.0005922659107</v>
      </c>
      <c r="AX57">
        <f t="shared" si="43"/>
        <v>3555.2386593008678</v>
      </c>
      <c r="AY57">
        <f t="shared" si="43"/>
        <v>3385.9415802865401</v>
      </c>
      <c r="AZ57">
        <f t="shared" si="43"/>
        <v>3224.7062669395623</v>
      </c>
      <c r="BA57">
        <f t="shared" si="43"/>
        <v>3071.1488256567259</v>
      </c>
      <c r="BB57">
        <f t="shared" si="43"/>
        <v>2924.9036434825962</v>
      </c>
      <c r="BC57">
        <f t="shared" si="43"/>
        <v>2785.6225176024723</v>
      </c>
      <c r="BD57">
        <f t="shared" si="43"/>
        <v>2652.9738262880692</v>
      </c>
      <c r="BE57">
        <f t="shared" si="43"/>
        <v>2526.6417393219699</v>
      </c>
      <c r="BF57">
        <f t="shared" si="43"/>
        <v>2406.3254660209245</v>
      </c>
      <c r="BG57">
        <f t="shared" ref="BG57:BP74" si="44">IF(BG$17&lt;=$H57,1000000*$D57/$H57,IF(BG$17&lt;=($H57+$F57),$E57,0))/(1+WACC)^BG$17</f>
        <v>2291.7385390675463</v>
      </c>
      <c r="BH57">
        <f t="shared" si="44"/>
        <v>2182.6081324452825</v>
      </c>
      <c r="BI57">
        <f t="shared" si="44"/>
        <v>2078.6744118526499</v>
      </c>
      <c r="BJ57">
        <f t="shared" si="44"/>
        <v>1979.6899160501428</v>
      </c>
      <c r="BK57">
        <f t="shared" si="44"/>
        <v>1885.4189676668025</v>
      </c>
      <c r="BL57">
        <f t="shared" si="44"/>
        <v>1795.6371120636215</v>
      </c>
      <c r="BM57">
        <f t="shared" si="44"/>
        <v>1710.1305829177347</v>
      </c>
      <c r="BN57">
        <f t="shared" si="44"/>
        <v>1628.6957932549858</v>
      </c>
      <c r="BO57">
        <f t="shared" si="44"/>
        <v>1551.1388507190336</v>
      </c>
      <c r="BP57">
        <f t="shared" si="44"/>
        <v>1477.2750959228895</v>
      </c>
      <c r="BQ57">
        <f t="shared" ref="BQ57:CF74" si="45">IF(BQ$17&lt;=$H57,1000000*$D57/$H57,IF(BQ$17&lt;=($H57+$F57),$E57,0))/(1+WACC)^BQ$17</f>
        <v>1406.9286627837041</v>
      </c>
      <c r="BR57">
        <f t="shared" si="45"/>
        <v>0</v>
      </c>
      <c r="BS57">
        <f t="shared" si="45"/>
        <v>0</v>
      </c>
      <c r="BT57">
        <f t="shared" si="45"/>
        <v>0</v>
      </c>
      <c r="BU57">
        <f t="shared" si="45"/>
        <v>0</v>
      </c>
      <c r="BV57">
        <f t="shared" si="45"/>
        <v>0</v>
      </c>
      <c r="BW57">
        <f t="shared" si="45"/>
        <v>0</v>
      </c>
      <c r="BX57">
        <f t="shared" si="45"/>
        <v>0</v>
      </c>
      <c r="BY57">
        <f t="shared" si="45"/>
        <v>0</v>
      </c>
      <c r="BZ57">
        <f t="shared" si="45"/>
        <v>0</v>
      </c>
      <c r="CA57">
        <f t="shared" si="45"/>
        <v>0</v>
      </c>
      <c r="CB57">
        <f t="shared" si="45"/>
        <v>0</v>
      </c>
      <c r="CC57">
        <f t="shared" si="45"/>
        <v>0</v>
      </c>
      <c r="CD57">
        <f t="shared" si="45"/>
        <v>0</v>
      </c>
      <c r="CE57">
        <f t="shared" si="45"/>
        <v>0</v>
      </c>
      <c r="CF57">
        <f t="shared" si="45"/>
        <v>0</v>
      </c>
      <c r="CG57">
        <f t="shared" ref="CA57:CT74" si="46">IF(CG$17&lt;=$H57,1000000*$D57/$H57,IF(CG$17&lt;=($H57+$F57),$E57,0))/(1+WACC)^CG$17</f>
        <v>0</v>
      </c>
      <c r="CH57">
        <f t="shared" si="46"/>
        <v>0</v>
      </c>
      <c r="CI57">
        <f t="shared" si="46"/>
        <v>0</v>
      </c>
      <c r="CJ57">
        <f t="shared" si="46"/>
        <v>0</v>
      </c>
      <c r="CK57">
        <f t="shared" si="46"/>
        <v>0</v>
      </c>
      <c r="CL57">
        <f t="shared" si="46"/>
        <v>0</v>
      </c>
      <c r="CM57">
        <f t="shared" si="46"/>
        <v>0</v>
      </c>
      <c r="CN57">
        <f t="shared" si="46"/>
        <v>0</v>
      </c>
      <c r="CO57">
        <f t="shared" si="46"/>
        <v>0</v>
      </c>
      <c r="CP57">
        <f t="shared" si="46"/>
        <v>0</v>
      </c>
      <c r="CQ57">
        <f t="shared" si="46"/>
        <v>0</v>
      </c>
      <c r="CR57">
        <f t="shared" si="46"/>
        <v>0</v>
      </c>
      <c r="CS57">
        <f t="shared" si="46"/>
        <v>0</v>
      </c>
      <c r="CT57">
        <f t="shared" si="46"/>
        <v>0</v>
      </c>
    </row>
    <row r="58" spans="1:98" x14ac:dyDescent="0.25">
      <c r="A58" t="s">
        <v>64</v>
      </c>
      <c r="B58" t="s">
        <v>105</v>
      </c>
      <c r="C58" s="9" t="s">
        <v>118</v>
      </c>
      <c r="D58" s="13" t="s">
        <v>118</v>
      </c>
      <c r="E58" s="25" t="s">
        <v>118</v>
      </c>
      <c r="F58" s="12">
        <v>25</v>
      </c>
      <c r="G58" s="12">
        <v>3.5</v>
      </c>
      <c r="H58" s="12">
        <f t="shared" si="10"/>
        <v>4</v>
      </c>
      <c r="I58" s="23">
        <v>2020</v>
      </c>
      <c r="J58" s="20">
        <f>HLOOKUP($B$8,Prices!$A$28:$V$29,2,FALSE)/HLOOKUP(I58,Prices!$A$28:$V$29,2,FALSE)</f>
        <v>1</v>
      </c>
      <c r="K58" s="14">
        <f t="shared" si="37"/>
        <v>7.6957634433580113E-2</v>
      </c>
      <c r="L58" s="47">
        <f>L53</f>
        <v>0.50799086757990863</v>
      </c>
      <c r="M58" s="5">
        <v>0.5</v>
      </c>
      <c r="N58" s="5">
        <f t="shared" si="11"/>
        <v>0.25399543378995432</v>
      </c>
      <c r="O58" s="16" t="e">
        <f t="shared" si="38"/>
        <v>#VALUE!</v>
      </c>
      <c r="P58" s="19" t="e">
        <f t="shared" si="35"/>
        <v>#VALUE!</v>
      </c>
      <c r="Q58" s="6" t="e">
        <f t="shared" si="12"/>
        <v>#VALUE!</v>
      </c>
      <c r="R58" s="34" t="e">
        <f t="shared" si="36"/>
        <v>#VALUE!</v>
      </c>
      <c r="S58" s="13">
        <v>10.63</v>
      </c>
      <c r="T58" s="18">
        <v>0</v>
      </c>
      <c r="U58" s="22">
        <v>1</v>
      </c>
      <c r="V58" s="6">
        <f t="shared" si="13"/>
        <v>0</v>
      </c>
      <c r="W58" s="26">
        <f>S58*J58+V58*HLOOKUP($B$8,Prices!$A$28:$V$29,2,FALSE)/Prices!$J$29</f>
        <v>10.63</v>
      </c>
      <c r="X58" t="s">
        <v>115</v>
      </c>
      <c r="Y58" t="s">
        <v>115</v>
      </c>
      <c r="Z58" t="s">
        <v>116</v>
      </c>
      <c r="AA58" t="s">
        <v>115</v>
      </c>
      <c r="AB58" t="s">
        <v>75</v>
      </c>
      <c r="AC58" t="e">
        <f t="shared" si="41"/>
        <v>#VALUE!</v>
      </c>
      <c r="AD58" t="e">
        <f t="shared" si="41"/>
        <v>#VALUE!</v>
      </c>
      <c r="AE58" t="e">
        <f t="shared" si="41"/>
        <v>#VALUE!</v>
      </c>
      <c r="AF58" t="e">
        <f t="shared" si="41"/>
        <v>#VALUE!</v>
      </c>
      <c r="AG58" t="e">
        <f t="shared" si="41"/>
        <v>#VALUE!</v>
      </c>
      <c r="AH58" t="e">
        <f t="shared" si="41"/>
        <v>#VALUE!</v>
      </c>
      <c r="AI58" t="e">
        <f t="shared" si="41"/>
        <v>#VALUE!</v>
      </c>
      <c r="AJ58" t="e">
        <f t="shared" si="41"/>
        <v>#VALUE!</v>
      </c>
      <c r="AK58" t="e">
        <f t="shared" si="41"/>
        <v>#VALUE!</v>
      </c>
      <c r="AL58" t="e">
        <f t="shared" si="41"/>
        <v>#VALUE!</v>
      </c>
      <c r="AM58" t="e">
        <f t="shared" si="42"/>
        <v>#VALUE!</v>
      </c>
      <c r="AN58" t="e">
        <f t="shared" si="42"/>
        <v>#VALUE!</v>
      </c>
      <c r="AO58" t="e">
        <f t="shared" si="42"/>
        <v>#VALUE!</v>
      </c>
      <c r="AP58" t="e">
        <f t="shared" si="42"/>
        <v>#VALUE!</v>
      </c>
      <c r="AQ58" t="e">
        <f t="shared" si="42"/>
        <v>#VALUE!</v>
      </c>
      <c r="AR58" t="e">
        <f t="shared" si="42"/>
        <v>#VALUE!</v>
      </c>
      <c r="AS58" t="e">
        <f t="shared" si="42"/>
        <v>#VALUE!</v>
      </c>
      <c r="AT58" t="e">
        <f t="shared" si="42"/>
        <v>#VALUE!</v>
      </c>
      <c r="AU58" t="e">
        <f t="shared" si="42"/>
        <v>#VALUE!</v>
      </c>
      <c r="AV58" t="e">
        <f t="shared" si="42"/>
        <v>#VALUE!</v>
      </c>
      <c r="AW58" t="e">
        <f t="shared" si="43"/>
        <v>#VALUE!</v>
      </c>
      <c r="AX58" t="e">
        <f t="shared" si="43"/>
        <v>#VALUE!</v>
      </c>
      <c r="AY58" t="e">
        <f t="shared" si="43"/>
        <v>#VALUE!</v>
      </c>
      <c r="AZ58" t="e">
        <f t="shared" si="43"/>
        <v>#VALUE!</v>
      </c>
      <c r="BA58" t="e">
        <f t="shared" si="43"/>
        <v>#VALUE!</v>
      </c>
      <c r="BB58" t="e">
        <f t="shared" si="43"/>
        <v>#VALUE!</v>
      </c>
      <c r="BC58" t="e">
        <f t="shared" si="43"/>
        <v>#VALUE!</v>
      </c>
      <c r="BD58" t="e">
        <f t="shared" si="43"/>
        <v>#VALUE!</v>
      </c>
      <c r="BE58" t="e">
        <f t="shared" si="43"/>
        <v>#VALUE!</v>
      </c>
      <c r="BF58">
        <f t="shared" si="43"/>
        <v>0</v>
      </c>
      <c r="BG58">
        <f t="shared" si="44"/>
        <v>0</v>
      </c>
      <c r="BH58">
        <f t="shared" si="44"/>
        <v>0</v>
      </c>
      <c r="BI58">
        <f t="shared" si="44"/>
        <v>0</v>
      </c>
      <c r="BJ58">
        <f t="shared" si="44"/>
        <v>0</v>
      </c>
      <c r="BK58">
        <f t="shared" si="44"/>
        <v>0</v>
      </c>
      <c r="BL58">
        <f t="shared" si="44"/>
        <v>0</v>
      </c>
      <c r="BM58">
        <f t="shared" si="44"/>
        <v>0</v>
      </c>
      <c r="BN58">
        <f t="shared" si="44"/>
        <v>0</v>
      </c>
      <c r="BO58">
        <f t="shared" si="44"/>
        <v>0</v>
      </c>
      <c r="BP58">
        <f t="shared" si="44"/>
        <v>0</v>
      </c>
      <c r="BQ58">
        <f t="shared" si="45"/>
        <v>0</v>
      </c>
      <c r="BR58">
        <f t="shared" si="45"/>
        <v>0</v>
      </c>
      <c r="BS58">
        <f t="shared" si="45"/>
        <v>0</v>
      </c>
      <c r="BT58">
        <f t="shared" si="45"/>
        <v>0</v>
      </c>
      <c r="BU58">
        <f t="shared" si="45"/>
        <v>0</v>
      </c>
      <c r="BV58">
        <f t="shared" si="45"/>
        <v>0</v>
      </c>
      <c r="BW58">
        <f t="shared" si="45"/>
        <v>0</v>
      </c>
      <c r="BX58">
        <f t="shared" si="45"/>
        <v>0</v>
      </c>
      <c r="BY58">
        <f t="shared" si="45"/>
        <v>0</v>
      </c>
      <c r="BZ58">
        <f t="shared" si="45"/>
        <v>0</v>
      </c>
      <c r="CA58">
        <f t="shared" si="46"/>
        <v>0</v>
      </c>
      <c r="CB58">
        <f t="shared" si="46"/>
        <v>0</v>
      </c>
      <c r="CC58">
        <f t="shared" si="46"/>
        <v>0</v>
      </c>
      <c r="CD58">
        <f t="shared" si="46"/>
        <v>0</v>
      </c>
      <c r="CE58">
        <f t="shared" si="46"/>
        <v>0</v>
      </c>
      <c r="CF58">
        <f t="shared" si="46"/>
        <v>0</v>
      </c>
      <c r="CG58">
        <f t="shared" si="46"/>
        <v>0</v>
      </c>
      <c r="CH58">
        <f t="shared" si="46"/>
        <v>0</v>
      </c>
      <c r="CI58">
        <f t="shared" si="46"/>
        <v>0</v>
      </c>
      <c r="CJ58">
        <f t="shared" si="46"/>
        <v>0</v>
      </c>
      <c r="CK58">
        <f t="shared" si="46"/>
        <v>0</v>
      </c>
      <c r="CL58">
        <f t="shared" si="46"/>
        <v>0</v>
      </c>
      <c r="CM58">
        <f t="shared" si="46"/>
        <v>0</v>
      </c>
      <c r="CN58">
        <f t="shared" si="46"/>
        <v>0</v>
      </c>
      <c r="CO58">
        <f t="shared" si="46"/>
        <v>0</v>
      </c>
      <c r="CP58">
        <f t="shared" si="46"/>
        <v>0</v>
      </c>
      <c r="CQ58">
        <f t="shared" si="46"/>
        <v>0</v>
      </c>
      <c r="CR58">
        <f t="shared" si="46"/>
        <v>0</v>
      </c>
      <c r="CS58">
        <f t="shared" si="46"/>
        <v>0</v>
      </c>
      <c r="CT58">
        <f t="shared" si="46"/>
        <v>0</v>
      </c>
    </row>
    <row r="59" spans="1:98" x14ac:dyDescent="0.25">
      <c r="A59" t="s">
        <v>65</v>
      </c>
      <c r="B59" t="s">
        <v>106</v>
      </c>
      <c r="C59" s="9" t="s">
        <v>118</v>
      </c>
      <c r="D59" s="13">
        <v>0.36</v>
      </c>
      <c r="E59" s="25">
        <v>8983</v>
      </c>
      <c r="F59" s="12">
        <v>25</v>
      </c>
      <c r="G59" s="12">
        <v>1</v>
      </c>
      <c r="H59" s="12">
        <f t="shared" si="10"/>
        <v>1</v>
      </c>
      <c r="I59" s="23">
        <v>2020</v>
      </c>
      <c r="J59" s="20">
        <f>HLOOKUP($B$8,Prices!$A$28:$V$29,2,FALSE)/HLOOKUP(I59,Prices!$A$28:$V$29,2,FALSE)</f>
        <v>1</v>
      </c>
      <c r="K59" s="14">
        <f t="shared" si="37"/>
        <v>7.2470900752687001E-2</v>
      </c>
      <c r="L59" s="24">
        <f>1-0.17/52-0.01</f>
        <v>0.98673076923076919</v>
      </c>
      <c r="M59" s="5">
        <v>1</v>
      </c>
      <c r="N59" s="5">
        <f t="shared" si="11"/>
        <v>0.98673076923076919</v>
      </c>
      <c r="O59" s="16">
        <f t="shared" si="38"/>
        <v>34525.884627722669</v>
      </c>
      <c r="P59" s="19">
        <f t="shared" si="35"/>
        <v>34525.884627722662</v>
      </c>
      <c r="Q59" s="6">
        <f t="shared" si="12"/>
        <v>34990.177365846401</v>
      </c>
      <c r="R59" s="34">
        <f t="shared" si="36"/>
        <v>1.4981426515836533</v>
      </c>
      <c r="S59" s="13">
        <v>6.38</v>
      </c>
      <c r="T59" s="11">
        <f>GasoilPriceSmall</f>
        <v>84.22163758389263</v>
      </c>
      <c r="U59" s="22">
        <v>0.35</v>
      </c>
      <c r="V59" s="6">
        <f t="shared" si="13"/>
        <v>240.63325023969324</v>
      </c>
      <c r="W59" s="26">
        <f>S59*J59+V59*HLOOKUP($B$8,Prices!$A$28:$V$29,2,FALSE)/Prices!$J$29</f>
        <v>225.08695654563371</v>
      </c>
      <c r="X59" s="29" t="s">
        <v>116</v>
      </c>
      <c r="Y59" s="29" t="s">
        <v>116</v>
      </c>
      <c r="Z59" s="29" t="s">
        <v>116</v>
      </c>
      <c r="AA59" s="29" t="s">
        <v>116</v>
      </c>
      <c r="AB59" t="s">
        <v>75</v>
      </c>
      <c r="AC59">
        <f t="shared" si="41"/>
        <v>342857.14285714284</v>
      </c>
      <c r="AD59">
        <f t="shared" si="41"/>
        <v>8147.8458049886622</v>
      </c>
      <c r="AE59">
        <f t="shared" si="41"/>
        <v>7759.8531476082489</v>
      </c>
      <c r="AF59">
        <f t="shared" si="41"/>
        <v>7390.336331055476</v>
      </c>
      <c r="AG59">
        <f t="shared" si="41"/>
        <v>7038.4155533861667</v>
      </c>
      <c r="AH59">
        <f t="shared" si="41"/>
        <v>6703.2529079868264</v>
      </c>
      <c r="AI59">
        <f t="shared" si="41"/>
        <v>6384.0503885588814</v>
      </c>
      <c r="AJ59">
        <f t="shared" si="41"/>
        <v>6080.0479891036966</v>
      </c>
      <c r="AK59">
        <f t="shared" si="41"/>
        <v>5790.5218943844729</v>
      </c>
      <c r="AL59">
        <f t="shared" si="41"/>
        <v>5514.7827565566413</v>
      </c>
      <c r="AM59">
        <f t="shared" si="42"/>
        <v>5252.1740538634667</v>
      </c>
      <c r="AN59">
        <f t="shared" si="42"/>
        <v>5002.070527489017</v>
      </c>
      <c r="AO59">
        <f t="shared" si="42"/>
        <v>4763.8766928466821</v>
      </c>
      <c r="AP59">
        <f t="shared" si="42"/>
        <v>4537.0254217587462</v>
      </c>
      <c r="AQ59">
        <f t="shared" si="42"/>
        <v>4320.9765921511853</v>
      </c>
      <c r="AR59">
        <f t="shared" si="42"/>
        <v>4115.2158020487486</v>
      </c>
      <c r="AS59">
        <f t="shared" si="42"/>
        <v>3919.2531448083309</v>
      </c>
      <c r="AT59">
        <f t="shared" si="42"/>
        <v>3732.6220426746013</v>
      </c>
      <c r="AU59">
        <f t="shared" si="42"/>
        <v>3554.8781358805722</v>
      </c>
      <c r="AV59">
        <f t="shared" si="42"/>
        <v>3385.5982246481644</v>
      </c>
      <c r="AW59">
        <f t="shared" si="43"/>
        <v>3224.3792615696802</v>
      </c>
      <c r="AX59">
        <f t="shared" si="43"/>
        <v>3070.8373919711244</v>
      </c>
      <c r="AY59">
        <f t="shared" si="43"/>
        <v>2924.607039972499</v>
      </c>
      <c r="AZ59">
        <f t="shared" si="43"/>
        <v>2785.3400380690468</v>
      </c>
      <c r="BA59">
        <f t="shared" si="43"/>
        <v>2652.7047981609971</v>
      </c>
      <c r="BB59">
        <f t="shared" si="43"/>
        <v>2526.3855220580922</v>
      </c>
      <c r="BC59">
        <f t="shared" si="43"/>
        <v>0</v>
      </c>
      <c r="BD59">
        <f t="shared" si="43"/>
        <v>0</v>
      </c>
      <c r="BE59">
        <f t="shared" si="43"/>
        <v>0</v>
      </c>
      <c r="BF59">
        <f t="shared" si="43"/>
        <v>0</v>
      </c>
      <c r="BG59">
        <f t="shared" si="44"/>
        <v>0</v>
      </c>
      <c r="BH59">
        <f t="shared" si="44"/>
        <v>0</v>
      </c>
      <c r="BI59">
        <f t="shared" si="44"/>
        <v>0</v>
      </c>
      <c r="BJ59">
        <f t="shared" si="44"/>
        <v>0</v>
      </c>
      <c r="BK59">
        <f t="shared" si="44"/>
        <v>0</v>
      </c>
      <c r="BL59">
        <f t="shared" si="44"/>
        <v>0</v>
      </c>
      <c r="BM59">
        <f t="shared" si="44"/>
        <v>0</v>
      </c>
      <c r="BN59">
        <f t="shared" si="44"/>
        <v>0</v>
      </c>
      <c r="BO59">
        <f t="shared" si="44"/>
        <v>0</v>
      </c>
      <c r="BP59">
        <f t="shared" si="44"/>
        <v>0</v>
      </c>
      <c r="BQ59">
        <f t="shared" si="45"/>
        <v>0</v>
      </c>
      <c r="BR59">
        <f t="shared" si="45"/>
        <v>0</v>
      </c>
      <c r="BS59">
        <f t="shared" si="45"/>
        <v>0</v>
      </c>
      <c r="BT59">
        <f t="shared" si="45"/>
        <v>0</v>
      </c>
      <c r="BU59">
        <f t="shared" si="45"/>
        <v>0</v>
      </c>
      <c r="BV59">
        <f t="shared" si="45"/>
        <v>0</v>
      </c>
      <c r="BW59">
        <f t="shared" si="45"/>
        <v>0</v>
      </c>
      <c r="BX59">
        <f t="shared" si="45"/>
        <v>0</v>
      </c>
      <c r="BY59">
        <f t="shared" si="45"/>
        <v>0</v>
      </c>
      <c r="BZ59">
        <f t="shared" si="45"/>
        <v>0</v>
      </c>
      <c r="CA59">
        <f t="shared" si="46"/>
        <v>0</v>
      </c>
      <c r="CB59">
        <f t="shared" si="46"/>
        <v>0</v>
      </c>
      <c r="CC59">
        <f t="shared" si="46"/>
        <v>0</v>
      </c>
      <c r="CD59">
        <f t="shared" si="46"/>
        <v>0</v>
      </c>
      <c r="CE59">
        <f t="shared" si="46"/>
        <v>0</v>
      </c>
      <c r="CF59">
        <f t="shared" si="46"/>
        <v>0</v>
      </c>
      <c r="CG59">
        <f t="shared" si="46"/>
        <v>0</v>
      </c>
      <c r="CH59">
        <f t="shared" si="46"/>
        <v>0</v>
      </c>
      <c r="CI59">
        <f t="shared" si="46"/>
        <v>0</v>
      </c>
      <c r="CJ59">
        <f t="shared" si="46"/>
        <v>0</v>
      </c>
      <c r="CK59">
        <f t="shared" si="46"/>
        <v>0</v>
      </c>
      <c r="CL59">
        <f t="shared" si="46"/>
        <v>0</v>
      </c>
      <c r="CM59">
        <f t="shared" si="46"/>
        <v>0</v>
      </c>
      <c r="CN59">
        <f t="shared" si="46"/>
        <v>0</v>
      </c>
      <c r="CO59">
        <f t="shared" si="46"/>
        <v>0</v>
      </c>
      <c r="CP59">
        <f t="shared" si="46"/>
        <v>0</v>
      </c>
      <c r="CQ59">
        <f t="shared" si="46"/>
        <v>0</v>
      </c>
      <c r="CR59">
        <f t="shared" si="46"/>
        <v>0</v>
      </c>
      <c r="CS59">
        <f t="shared" si="46"/>
        <v>0</v>
      </c>
      <c r="CT59">
        <f t="shared" si="46"/>
        <v>0</v>
      </c>
    </row>
    <row r="60" spans="1:98" x14ac:dyDescent="0.25">
      <c r="A60" t="s">
        <v>66</v>
      </c>
      <c r="B60" t="s">
        <v>103</v>
      </c>
      <c r="C60" s="9" t="s">
        <v>118</v>
      </c>
      <c r="D60" s="13">
        <v>0.5</v>
      </c>
      <c r="E60" s="25">
        <v>6646</v>
      </c>
      <c r="F60" s="12">
        <v>25</v>
      </c>
      <c r="G60" s="12">
        <v>1</v>
      </c>
      <c r="H60" s="12">
        <f t="shared" si="10"/>
        <v>1</v>
      </c>
      <c r="I60" s="23">
        <v>2020</v>
      </c>
      <c r="J60" s="20">
        <f>HLOOKUP($B$8,Prices!$A$28:$V$29,2,FALSE)/HLOOKUP(I60,Prices!$A$28:$V$29,2,FALSE)</f>
        <v>1</v>
      </c>
      <c r="K60" s="14">
        <f t="shared" si="37"/>
        <v>7.2470900752687001E-2</v>
      </c>
      <c r="L60" s="24">
        <f>1-0.03/52-0.01</f>
        <v>0.98942307692307696</v>
      </c>
      <c r="M60" s="5">
        <v>1</v>
      </c>
      <c r="N60" s="5">
        <f t="shared" si="11"/>
        <v>0.98942307692307696</v>
      </c>
      <c r="O60" s="16">
        <f t="shared" si="38"/>
        <v>42122.228649614794</v>
      </c>
      <c r="P60" s="19">
        <f t="shared" si="35"/>
        <v>42122.228649614808</v>
      </c>
      <c r="Q60" s="6">
        <f t="shared" si="12"/>
        <v>42572.514864528071</v>
      </c>
      <c r="R60" s="34">
        <f t="shared" si="36"/>
        <v>1.8227887111536445</v>
      </c>
      <c r="S60" s="13">
        <v>6.38</v>
      </c>
      <c r="T60" s="11">
        <f>GasoilPriceSmall</f>
        <v>84.22163758389263</v>
      </c>
      <c r="U60" s="22">
        <v>0.48</v>
      </c>
      <c r="V60" s="6">
        <f t="shared" si="13"/>
        <v>175.46174496644298</v>
      </c>
      <c r="W60" s="26">
        <f>S60*J60+V60*HLOOKUP($B$8,Prices!$A$28:$V$29,2,FALSE)/Prices!$J$29</f>
        <v>165.85382248119123</v>
      </c>
      <c r="X60" s="29" t="s">
        <v>116</v>
      </c>
      <c r="Y60" s="29" t="s">
        <v>116</v>
      </c>
      <c r="Z60" s="29" t="s">
        <v>116</v>
      </c>
      <c r="AA60" s="29" t="s">
        <v>116</v>
      </c>
      <c r="AB60" t="s">
        <v>75</v>
      </c>
      <c r="AC60">
        <f t="shared" si="41"/>
        <v>476190.47619047615</v>
      </c>
      <c r="AD60">
        <f t="shared" si="41"/>
        <v>6028.1179138321995</v>
      </c>
      <c r="AE60">
        <f t="shared" si="41"/>
        <v>5741.0646798401895</v>
      </c>
      <c r="AF60">
        <f t="shared" si="41"/>
        <v>5467.6806474668474</v>
      </c>
      <c r="AG60">
        <f t="shared" si="41"/>
        <v>5207.3149023493779</v>
      </c>
      <c r="AH60">
        <f t="shared" si="41"/>
        <v>4959.3475260470277</v>
      </c>
      <c r="AI60">
        <f t="shared" si="41"/>
        <v>4723.188120044787</v>
      </c>
      <c r="AJ60">
        <f t="shared" si="41"/>
        <v>4498.2744000426546</v>
      </c>
      <c r="AK60">
        <f t="shared" si="41"/>
        <v>4284.0708571834812</v>
      </c>
      <c r="AL60">
        <f t="shared" si="41"/>
        <v>4080.0674830318862</v>
      </c>
      <c r="AM60">
        <f t="shared" si="42"/>
        <v>3885.7785552684632</v>
      </c>
      <c r="AN60">
        <f t="shared" si="42"/>
        <v>3700.7414812080606</v>
      </c>
      <c r="AO60">
        <f t="shared" si="42"/>
        <v>3524.5156963886284</v>
      </c>
      <c r="AP60">
        <f t="shared" si="42"/>
        <v>3356.6816156082182</v>
      </c>
      <c r="AQ60">
        <f t="shared" si="42"/>
        <v>3196.8396339125879</v>
      </c>
      <c r="AR60">
        <f t="shared" si="42"/>
        <v>3044.6091751548461</v>
      </c>
      <c r="AS60">
        <f t="shared" si="42"/>
        <v>2899.6277858617577</v>
      </c>
      <c r="AT60">
        <f t="shared" si="42"/>
        <v>2761.5502722492929</v>
      </c>
      <c r="AU60">
        <f t="shared" si="42"/>
        <v>2630.0478783326598</v>
      </c>
      <c r="AV60">
        <f t="shared" si="42"/>
        <v>2504.8075031739618</v>
      </c>
      <c r="AW60">
        <f t="shared" si="43"/>
        <v>2385.5309554037735</v>
      </c>
      <c r="AX60">
        <f t="shared" si="43"/>
        <v>2271.9342432416893</v>
      </c>
      <c r="AY60">
        <f t="shared" si="43"/>
        <v>2163.7468983254175</v>
      </c>
      <c r="AZ60">
        <f t="shared" si="43"/>
        <v>2060.7113317384933</v>
      </c>
      <c r="BA60">
        <f t="shared" si="43"/>
        <v>1962.5822207033268</v>
      </c>
      <c r="BB60">
        <f t="shared" si="43"/>
        <v>1869.1259244793589</v>
      </c>
      <c r="BC60">
        <f t="shared" si="43"/>
        <v>0</v>
      </c>
      <c r="BD60">
        <f t="shared" si="43"/>
        <v>0</v>
      </c>
      <c r="BE60">
        <f t="shared" si="43"/>
        <v>0</v>
      </c>
      <c r="BF60">
        <f t="shared" si="43"/>
        <v>0</v>
      </c>
      <c r="BG60">
        <f t="shared" si="44"/>
        <v>0</v>
      </c>
      <c r="BH60">
        <f t="shared" si="44"/>
        <v>0</v>
      </c>
      <c r="BI60">
        <f t="shared" si="44"/>
        <v>0</v>
      </c>
      <c r="BJ60">
        <f t="shared" si="44"/>
        <v>0</v>
      </c>
      <c r="BK60">
        <f t="shared" si="44"/>
        <v>0</v>
      </c>
      <c r="BL60">
        <f t="shared" si="44"/>
        <v>0</v>
      </c>
      <c r="BM60">
        <f t="shared" si="44"/>
        <v>0</v>
      </c>
      <c r="BN60">
        <f t="shared" si="44"/>
        <v>0</v>
      </c>
      <c r="BO60">
        <f t="shared" si="44"/>
        <v>0</v>
      </c>
      <c r="BP60">
        <f t="shared" si="44"/>
        <v>0</v>
      </c>
      <c r="BQ60">
        <f t="shared" si="45"/>
        <v>0</v>
      </c>
      <c r="BR60">
        <f t="shared" si="45"/>
        <v>0</v>
      </c>
      <c r="BS60">
        <f t="shared" si="45"/>
        <v>0</v>
      </c>
      <c r="BT60">
        <f t="shared" si="45"/>
        <v>0</v>
      </c>
      <c r="BU60">
        <f t="shared" si="45"/>
        <v>0</v>
      </c>
      <c r="BV60">
        <f t="shared" si="45"/>
        <v>0</v>
      </c>
      <c r="BW60">
        <f t="shared" si="45"/>
        <v>0</v>
      </c>
      <c r="BX60">
        <f t="shared" si="45"/>
        <v>0</v>
      </c>
      <c r="BY60">
        <f t="shared" si="45"/>
        <v>0</v>
      </c>
      <c r="BZ60">
        <f t="shared" si="45"/>
        <v>0</v>
      </c>
      <c r="CA60">
        <f t="shared" si="46"/>
        <v>0</v>
      </c>
      <c r="CB60">
        <f t="shared" si="46"/>
        <v>0</v>
      </c>
      <c r="CC60">
        <f t="shared" si="46"/>
        <v>0</v>
      </c>
      <c r="CD60">
        <f t="shared" si="46"/>
        <v>0</v>
      </c>
      <c r="CE60">
        <f t="shared" si="46"/>
        <v>0</v>
      </c>
      <c r="CF60">
        <f t="shared" si="46"/>
        <v>0</v>
      </c>
      <c r="CG60">
        <f t="shared" si="46"/>
        <v>0</v>
      </c>
      <c r="CH60">
        <f t="shared" si="46"/>
        <v>0</v>
      </c>
      <c r="CI60">
        <f t="shared" si="46"/>
        <v>0</v>
      </c>
      <c r="CJ60">
        <f t="shared" si="46"/>
        <v>0</v>
      </c>
      <c r="CK60">
        <f t="shared" si="46"/>
        <v>0</v>
      </c>
      <c r="CL60">
        <f t="shared" si="46"/>
        <v>0</v>
      </c>
      <c r="CM60">
        <f t="shared" si="46"/>
        <v>0</v>
      </c>
      <c r="CN60">
        <f t="shared" si="46"/>
        <v>0</v>
      </c>
      <c r="CO60">
        <f t="shared" si="46"/>
        <v>0</v>
      </c>
      <c r="CP60">
        <f t="shared" si="46"/>
        <v>0</v>
      </c>
      <c r="CQ60">
        <f t="shared" si="46"/>
        <v>0</v>
      </c>
      <c r="CR60">
        <f t="shared" si="46"/>
        <v>0</v>
      </c>
      <c r="CS60">
        <f t="shared" si="46"/>
        <v>0</v>
      </c>
      <c r="CT60">
        <f t="shared" si="46"/>
        <v>0</v>
      </c>
    </row>
    <row r="61" spans="1:98" x14ac:dyDescent="0.25">
      <c r="A61" t="s">
        <v>122</v>
      </c>
      <c r="B61" t="s">
        <v>123</v>
      </c>
      <c r="C61" s="9" t="s">
        <v>118</v>
      </c>
      <c r="D61" s="13">
        <v>0.47</v>
      </c>
      <c r="E61" s="25">
        <v>8236</v>
      </c>
      <c r="F61" s="12">
        <v>25</v>
      </c>
      <c r="G61" s="23">
        <v>1</v>
      </c>
      <c r="H61" s="12">
        <f t="shared" si="10"/>
        <v>1</v>
      </c>
      <c r="I61" s="23">
        <v>2020</v>
      </c>
      <c r="J61" s="20">
        <f>HLOOKUP($B$8,Prices!$A$28:$V$29,2,FALSE)/HLOOKUP(I61,Prices!$A$28:$V$29,2,FALSE)</f>
        <v>1</v>
      </c>
      <c r="K61" s="14">
        <f t="shared" si="37"/>
        <v>7.2470900752687001E-2</v>
      </c>
      <c r="L61" s="24">
        <f>1-0.11/52-0.01</f>
        <v>0.98788461538461536</v>
      </c>
      <c r="M61" s="5">
        <v>1</v>
      </c>
      <c r="N61" s="5">
        <f t="shared" si="11"/>
        <v>0.98788461538461536</v>
      </c>
      <c r="O61" s="16">
        <f t="shared" si="38"/>
        <v>41583.654930637924</v>
      </c>
      <c r="P61" s="19">
        <f t="shared" si="35"/>
        <v>41583.654930637917</v>
      </c>
      <c r="Q61" s="6">
        <f t="shared" si="12"/>
        <v>42093.635514759044</v>
      </c>
      <c r="R61" s="34">
        <f t="shared" si="36"/>
        <v>1.802284968879051</v>
      </c>
      <c r="S61" s="13">
        <v>4.79</v>
      </c>
      <c r="T61" s="11">
        <f>NatgasPriceSmall</f>
        <v>63.976590604026846</v>
      </c>
      <c r="U61" s="22">
        <v>0.41</v>
      </c>
      <c r="V61" s="6">
        <f t="shared" si="13"/>
        <v>156.04046488787037</v>
      </c>
      <c r="W61" s="26">
        <f>S61*J61+V61*HLOOKUP($B$8,Prices!$A$28:$V$29,2,FALSE)/Prices!$J$29</f>
        <v>146.61219265042601</v>
      </c>
      <c r="X61" t="s">
        <v>116</v>
      </c>
      <c r="Y61" t="s">
        <v>116</v>
      </c>
      <c r="Z61" t="s">
        <v>115</v>
      </c>
      <c r="AA61" s="29" t="s">
        <v>116</v>
      </c>
      <c r="AB61" t="s">
        <v>75</v>
      </c>
      <c r="AC61">
        <f t="shared" si="41"/>
        <v>447619.04761904757</v>
      </c>
      <c r="AD61">
        <f t="shared" si="41"/>
        <v>7470.2947845804983</v>
      </c>
      <c r="AE61">
        <f t="shared" si="41"/>
        <v>7114.5664615052365</v>
      </c>
      <c r="AF61">
        <f t="shared" si="41"/>
        <v>6775.7775823859401</v>
      </c>
      <c r="AG61">
        <f t="shared" si="41"/>
        <v>6453.1215070342278</v>
      </c>
      <c r="AH61">
        <f t="shared" si="41"/>
        <v>6145.8300066992651</v>
      </c>
      <c r="AI61">
        <f t="shared" si="41"/>
        <v>5853.1714349516806</v>
      </c>
      <c r="AJ61">
        <f t="shared" si="41"/>
        <v>5574.4489856682676</v>
      </c>
      <c r="AK61">
        <f t="shared" si="41"/>
        <v>5308.9990339697788</v>
      </c>
      <c r="AL61">
        <f t="shared" si="41"/>
        <v>5056.1895561616939</v>
      </c>
      <c r="AM61">
        <f t="shared" si="42"/>
        <v>4815.4186249158984</v>
      </c>
      <c r="AN61">
        <f t="shared" si="42"/>
        <v>4586.1129761103803</v>
      </c>
      <c r="AO61">
        <f t="shared" si="42"/>
        <v>4367.726643914647</v>
      </c>
      <c r="AP61">
        <f t="shared" si="42"/>
        <v>4159.7396608710933</v>
      </c>
      <c r="AQ61">
        <f t="shared" si="42"/>
        <v>3961.6568198772306</v>
      </c>
      <c r="AR61">
        <f t="shared" si="42"/>
        <v>3773.0064951211721</v>
      </c>
      <c r="AS61">
        <f t="shared" si="42"/>
        <v>3593.3395191630207</v>
      </c>
      <c r="AT61">
        <f t="shared" si="42"/>
        <v>3422.2281134885911</v>
      </c>
      <c r="AU61">
        <f t="shared" si="42"/>
        <v>3259.2648699891342</v>
      </c>
      <c r="AV61">
        <f t="shared" si="42"/>
        <v>3104.0617809420328</v>
      </c>
      <c r="AW61">
        <f t="shared" si="43"/>
        <v>2956.2493151828885</v>
      </c>
      <c r="AX61">
        <f t="shared" si="43"/>
        <v>2815.4755382694179</v>
      </c>
      <c r="AY61">
        <f t="shared" si="43"/>
        <v>2681.4052745423023</v>
      </c>
      <c r="AZ61">
        <f t="shared" si="43"/>
        <v>2553.7193090879073</v>
      </c>
      <c r="BA61">
        <f t="shared" si="43"/>
        <v>2432.1136277027686</v>
      </c>
      <c r="BB61">
        <f t="shared" si="43"/>
        <v>2316.2986930502557</v>
      </c>
      <c r="BC61">
        <f t="shared" si="43"/>
        <v>0</v>
      </c>
      <c r="BD61">
        <f t="shared" si="43"/>
        <v>0</v>
      </c>
      <c r="BE61">
        <f t="shared" si="43"/>
        <v>0</v>
      </c>
      <c r="BF61">
        <f t="shared" si="43"/>
        <v>0</v>
      </c>
      <c r="BG61">
        <f t="shared" si="44"/>
        <v>0</v>
      </c>
      <c r="BH61">
        <f t="shared" si="44"/>
        <v>0</v>
      </c>
      <c r="BI61">
        <f t="shared" si="44"/>
        <v>0</v>
      </c>
      <c r="BJ61">
        <f t="shared" si="44"/>
        <v>0</v>
      </c>
      <c r="BK61">
        <f t="shared" si="44"/>
        <v>0</v>
      </c>
      <c r="BL61">
        <f t="shared" si="44"/>
        <v>0</v>
      </c>
      <c r="BM61">
        <f t="shared" si="44"/>
        <v>0</v>
      </c>
      <c r="BN61">
        <f t="shared" si="44"/>
        <v>0</v>
      </c>
      <c r="BO61">
        <f t="shared" si="44"/>
        <v>0</v>
      </c>
      <c r="BP61">
        <f t="shared" si="44"/>
        <v>0</v>
      </c>
      <c r="BQ61">
        <f t="shared" si="45"/>
        <v>0</v>
      </c>
      <c r="BR61">
        <f t="shared" si="45"/>
        <v>0</v>
      </c>
      <c r="BS61">
        <f t="shared" si="45"/>
        <v>0</v>
      </c>
      <c r="BT61">
        <f t="shared" si="45"/>
        <v>0</v>
      </c>
      <c r="BU61">
        <f t="shared" si="45"/>
        <v>0</v>
      </c>
      <c r="BV61">
        <f t="shared" si="45"/>
        <v>0</v>
      </c>
      <c r="BW61">
        <f t="shared" si="45"/>
        <v>0</v>
      </c>
      <c r="BX61">
        <f t="shared" si="45"/>
        <v>0</v>
      </c>
      <c r="BY61">
        <f t="shared" si="45"/>
        <v>0</v>
      </c>
      <c r="BZ61">
        <f t="shared" si="45"/>
        <v>0</v>
      </c>
      <c r="CA61">
        <f t="shared" si="46"/>
        <v>0</v>
      </c>
      <c r="CB61">
        <f t="shared" si="46"/>
        <v>0</v>
      </c>
      <c r="CC61">
        <f t="shared" si="46"/>
        <v>0</v>
      </c>
      <c r="CD61">
        <f t="shared" si="46"/>
        <v>0</v>
      </c>
      <c r="CE61">
        <f t="shared" si="46"/>
        <v>0</v>
      </c>
      <c r="CF61">
        <f t="shared" si="46"/>
        <v>0</v>
      </c>
      <c r="CG61">
        <f t="shared" si="46"/>
        <v>0</v>
      </c>
      <c r="CH61">
        <f t="shared" si="46"/>
        <v>0</v>
      </c>
      <c r="CI61">
        <f t="shared" si="46"/>
        <v>0</v>
      </c>
      <c r="CJ61">
        <f t="shared" si="46"/>
        <v>0</v>
      </c>
      <c r="CK61">
        <f t="shared" si="46"/>
        <v>0</v>
      </c>
      <c r="CL61">
        <f t="shared" si="46"/>
        <v>0</v>
      </c>
      <c r="CM61">
        <f t="shared" si="46"/>
        <v>0</v>
      </c>
      <c r="CN61">
        <f t="shared" si="46"/>
        <v>0</v>
      </c>
      <c r="CO61">
        <f t="shared" si="46"/>
        <v>0</v>
      </c>
      <c r="CP61">
        <f t="shared" si="46"/>
        <v>0</v>
      </c>
      <c r="CQ61">
        <f t="shared" si="46"/>
        <v>0</v>
      </c>
      <c r="CR61">
        <f t="shared" si="46"/>
        <v>0</v>
      </c>
      <c r="CS61">
        <f t="shared" si="46"/>
        <v>0</v>
      </c>
      <c r="CT61">
        <f t="shared" si="46"/>
        <v>0</v>
      </c>
    </row>
    <row r="62" spans="1:98" x14ac:dyDescent="0.25">
      <c r="A62" t="s">
        <v>122</v>
      </c>
      <c r="B62" t="s">
        <v>107</v>
      </c>
      <c r="C62" s="9" t="s">
        <v>118</v>
      </c>
      <c r="D62" s="13">
        <v>0.38</v>
      </c>
      <c r="E62" s="25">
        <f>E61</f>
        <v>8236</v>
      </c>
      <c r="F62" s="23">
        <v>25</v>
      </c>
      <c r="G62" s="23">
        <v>1</v>
      </c>
      <c r="H62" s="12">
        <f t="shared" si="10"/>
        <v>1</v>
      </c>
      <c r="I62" s="23">
        <v>2020</v>
      </c>
      <c r="J62" s="20">
        <f>HLOOKUP($B$8,Prices!$A$28:$V$29,2,FALSE)/HLOOKUP(I62,Prices!$A$28:$V$29,2,FALSE)</f>
        <v>1</v>
      </c>
      <c r="K62" s="14">
        <f t="shared" si="37"/>
        <v>7.2470900752687001E-2</v>
      </c>
      <c r="L62" s="24">
        <f>L61</f>
        <v>0.98788461538461536</v>
      </c>
      <c r="M62" s="5">
        <v>1</v>
      </c>
      <c r="N62" s="5">
        <f t="shared" si="11"/>
        <v>0.98788461538461536</v>
      </c>
      <c r="O62" s="16">
        <f t="shared" si="38"/>
        <v>35197.933773707242</v>
      </c>
      <c r="P62" s="19">
        <f t="shared" si="35"/>
        <v>35197.933773707249</v>
      </c>
      <c r="Q62" s="6">
        <f t="shared" si="12"/>
        <v>35629.600082397832</v>
      </c>
      <c r="R62" s="34">
        <f t="shared" si="36"/>
        <v>1.5255202334130107</v>
      </c>
      <c r="S62" s="13">
        <f>S61</f>
        <v>4.79</v>
      </c>
      <c r="T62" s="11">
        <f>GasoilPriceCentral</f>
        <v>81.568751677852347</v>
      </c>
      <c r="U62" s="22">
        <v>0.4</v>
      </c>
      <c r="V62" s="6">
        <f t="shared" si="13"/>
        <v>203.92187919463086</v>
      </c>
      <c r="W62" s="26">
        <f>S62*J62+V62*HLOOKUP($B$8,Prices!$A$28:$V$29,2,FALSE)/Prices!$J$29</f>
        <v>190.13069388706336</v>
      </c>
      <c r="X62" t="s">
        <v>116</v>
      </c>
      <c r="Y62" t="s">
        <v>116</v>
      </c>
      <c r="Z62" t="s">
        <v>116</v>
      </c>
      <c r="AA62" t="s">
        <v>116</v>
      </c>
      <c r="AB62" t="s">
        <v>75</v>
      </c>
      <c r="AC62">
        <f t="shared" si="41"/>
        <v>361904.76190476189</v>
      </c>
      <c r="AD62">
        <f t="shared" si="41"/>
        <v>7470.2947845804983</v>
      </c>
      <c r="AE62">
        <f t="shared" si="41"/>
        <v>7114.5664615052365</v>
      </c>
      <c r="AF62">
        <f t="shared" si="41"/>
        <v>6775.7775823859401</v>
      </c>
      <c r="AG62">
        <f t="shared" si="41"/>
        <v>6453.1215070342278</v>
      </c>
      <c r="AH62">
        <f t="shared" si="41"/>
        <v>6145.8300066992651</v>
      </c>
      <c r="AI62">
        <f t="shared" si="41"/>
        <v>5853.1714349516806</v>
      </c>
      <c r="AJ62">
        <f t="shared" si="41"/>
        <v>5574.4489856682676</v>
      </c>
      <c r="AK62">
        <f t="shared" si="41"/>
        <v>5308.9990339697788</v>
      </c>
      <c r="AL62">
        <f t="shared" si="41"/>
        <v>5056.1895561616939</v>
      </c>
      <c r="AM62">
        <f t="shared" si="42"/>
        <v>4815.4186249158984</v>
      </c>
      <c r="AN62">
        <f t="shared" si="42"/>
        <v>4586.1129761103803</v>
      </c>
      <c r="AO62">
        <f t="shared" si="42"/>
        <v>4367.726643914647</v>
      </c>
      <c r="AP62">
        <f t="shared" si="42"/>
        <v>4159.7396608710933</v>
      </c>
      <c r="AQ62">
        <f t="shared" si="42"/>
        <v>3961.6568198772306</v>
      </c>
      <c r="AR62">
        <f t="shared" si="42"/>
        <v>3773.0064951211721</v>
      </c>
      <c r="AS62">
        <f t="shared" si="42"/>
        <v>3593.3395191630207</v>
      </c>
      <c r="AT62">
        <f t="shared" si="42"/>
        <v>3422.2281134885911</v>
      </c>
      <c r="AU62">
        <f t="shared" si="42"/>
        <v>3259.2648699891342</v>
      </c>
      <c r="AV62">
        <f t="shared" si="42"/>
        <v>3104.0617809420328</v>
      </c>
      <c r="AW62">
        <f t="shared" si="43"/>
        <v>2956.2493151828885</v>
      </c>
      <c r="AX62">
        <f t="shared" si="43"/>
        <v>2815.4755382694179</v>
      </c>
      <c r="AY62">
        <f t="shared" si="43"/>
        <v>2681.4052745423023</v>
      </c>
      <c r="AZ62">
        <f t="shared" si="43"/>
        <v>2553.7193090879073</v>
      </c>
      <c r="BA62">
        <f t="shared" si="43"/>
        <v>2432.1136277027686</v>
      </c>
      <c r="BB62">
        <f t="shared" si="43"/>
        <v>2316.2986930502557</v>
      </c>
      <c r="BC62">
        <f t="shared" si="43"/>
        <v>0</v>
      </c>
      <c r="BD62">
        <f t="shared" si="43"/>
        <v>0</v>
      </c>
      <c r="BE62">
        <f t="shared" si="43"/>
        <v>0</v>
      </c>
      <c r="BF62">
        <f t="shared" si="43"/>
        <v>0</v>
      </c>
      <c r="BG62">
        <f t="shared" si="44"/>
        <v>0</v>
      </c>
      <c r="BH62">
        <f t="shared" si="44"/>
        <v>0</v>
      </c>
      <c r="BI62">
        <f t="shared" si="44"/>
        <v>0</v>
      </c>
      <c r="BJ62">
        <f t="shared" si="44"/>
        <v>0</v>
      </c>
      <c r="BK62">
        <f t="shared" si="44"/>
        <v>0</v>
      </c>
      <c r="BL62">
        <f t="shared" si="44"/>
        <v>0</v>
      </c>
      <c r="BM62">
        <f t="shared" si="44"/>
        <v>0</v>
      </c>
      <c r="BN62">
        <f t="shared" si="44"/>
        <v>0</v>
      </c>
      <c r="BO62">
        <f t="shared" si="44"/>
        <v>0</v>
      </c>
      <c r="BP62">
        <f t="shared" si="44"/>
        <v>0</v>
      </c>
      <c r="BQ62">
        <f t="shared" si="45"/>
        <v>0</v>
      </c>
      <c r="BR62">
        <f t="shared" si="45"/>
        <v>0</v>
      </c>
      <c r="BS62">
        <f t="shared" si="45"/>
        <v>0</v>
      </c>
      <c r="BT62">
        <f t="shared" si="45"/>
        <v>0</v>
      </c>
      <c r="BU62">
        <f t="shared" si="45"/>
        <v>0</v>
      </c>
      <c r="BV62">
        <f t="shared" si="45"/>
        <v>0</v>
      </c>
      <c r="BW62">
        <f t="shared" si="45"/>
        <v>0</v>
      </c>
      <c r="BX62">
        <f t="shared" si="45"/>
        <v>0</v>
      </c>
      <c r="BY62">
        <f t="shared" si="45"/>
        <v>0</v>
      </c>
      <c r="BZ62">
        <f t="shared" si="45"/>
        <v>0</v>
      </c>
      <c r="CA62">
        <f t="shared" si="46"/>
        <v>0</v>
      </c>
      <c r="CB62">
        <f t="shared" si="46"/>
        <v>0</v>
      </c>
      <c r="CC62">
        <f t="shared" si="46"/>
        <v>0</v>
      </c>
      <c r="CD62">
        <f t="shared" si="46"/>
        <v>0</v>
      </c>
      <c r="CE62">
        <f t="shared" si="46"/>
        <v>0</v>
      </c>
      <c r="CF62">
        <f t="shared" si="46"/>
        <v>0</v>
      </c>
      <c r="CG62">
        <f t="shared" si="46"/>
        <v>0</v>
      </c>
      <c r="CH62">
        <f t="shared" si="46"/>
        <v>0</v>
      </c>
      <c r="CI62">
        <f t="shared" si="46"/>
        <v>0</v>
      </c>
      <c r="CJ62">
        <f t="shared" si="46"/>
        <v>0</v>
      </c>
      <c r="CK62">
        <f t="shared" si="46"/>
        <v>0</v>
      </c>
      <c r="CL62">
        <f t="shared" si="46"/>
        <v>0</v>
      </c>
      <c r="CM62">
        <f t="shared" si="46"/>
        <v>0</v>
      </c>
      <c r="CN62">
        <f t="shared" si="46"/>
        <v>0</v>
      </c>
      <c r="CO62">
        <f t="shared" si="46"/>
        <v>0</v>
      </c>
      <c r="CP62">
        <f t="shared" si="46"/>
        <v>0</v>
      </c>
      <c r="CQ62">
        <f t="shared" si="46"/>
        <v>0</v>
      </c>
      <c r="CR62">
        <f t="shared" si="46"/>
        <v>0</v>
      </c>
      <c r="CS62">
        <f t="shared" si="46"/>
        <v>0</v>
      </c>
      <c r="CT62">
        <f t="shared" si="46"/>
        <v>0</v>
      </c>
    </row>
    <row r="63" spans="1:98" x14ac:dyDescent="0.25">
      <c r="A63" t="s">
        <v>236</v>
      </c>
      <c r="B63" t="s">
        <v>233</v>
      </c>
      <c r="C63" s="27">
        <v>1</v>
      </c>
      <c r="D63" s="13">
        <f>1.5/EURO_exchange_rate-Heat_capacity_unit_investment_cost/C63</f>
        <v>0.15134228187919463</v>
      </c>
      <c r="E63" s="26">
        <f>200000/EURO_exchange_rate-Heat_capacity_fixed_operating_costs/C63</f>
        <v>24945.637583892618</v>
      </c>
      <c r="F63" s="23">
        <v>10</v>
      </c>
      <c r="G63" s="23">
        <v>1</v>
      </c>
      <c r="H63" s="12">
        <f t="shared" ref="H63" si="47">ROUND(G63,0)</f>
        <v>1</v>
      </c>
      <c r="I63" s="23">
        <v>2023</v>
      </c>
      <c r="J63" s="20">
        <f>HLOOKUP($B$8,Prices!$A$28:$V$29,2,FALSE)/HLOOKUP(I63,Prices!$A$28:$V$29,2,FALSE)</f>
        <v>0.90888086466762641</v>
      </c>
      <c r="K63" s="14">
        <f t="shared" ref="K63" si="48">$B$10/(1-(1+$B$10)^(-F63+G63))</f>
        <v>0.14069007997578778</v>
      </c>
      <c r="L63" s="24">
        <f>L27</f>
        <v>0.93153846153846154</v>
      </c>
      <c r="M63" s="5">
        <v>1</v>
      </c>
      <c r="N63" s="5">
        <f t="shared" ref="N63" si="49">L63*M63</f>
        <v>0.93153846153846154</v>
      </c>
      <c r="O63" s="16">
        <f t="shared" ref="O63" si="50">J63*SUM(AC63:CT63)*WACC*(1+WACC)^(F63+G63)/((1+WACC)^F63-1)</f>
        <v>40486.239423017774</v>
      </c>
      <c r="P63" s="19">
        <f t="shared" ref="P63" si="51">J63*(D63*1000000*WACC/(1-(1+WACC)^-F63)+E63)</f>
        <v>40486.239423017782</v>
      </c>
      <c r="Q63" s="6">
        <f t="shared" ref="Q63" si="52">O63/L63/M63</f>
        <v>43461.693847995957</v>
      </c>
      <c r="R63" s="34">
        <f t="shared" ref="R63" si="53">Q63/VOLL</f>
        <v>1.8608598802733902</v>
      </c>
      <c r="S63" s="13">
        <f>S27</f>
        <v>4.4660000000000002</v>
      </c>
      <c r="T63" s="11">
        <f>GasoilPriceCentral</f>
        <v>81.568751677852347</v>
      </c>
      <c r="U63" s="22">
        <f>45/(100-45/C63/1.05)</f>
        <v>0.78749999999999998</v>
      </c>
      <c r="V63" s="6">
        <f t="shared" ref="V63" si="54">T63/U63</f>
        <v>103.57936720997124</v>
      </c>
      <c r="W63" s="26">
        <f>S63*J63+V63*HLOOKUP($B$8,Prices!$A$28:$V$29,2,FALSE)/Prices!$J$29</f>
        <v>98.200366773129872</v>
      </c>
      <c r="X63" t="s">
        <v>116</v>
      </c>
      <c r="Y63" t="s">
        <v>116</v>
      </c>
      <c r="Z63" t="s">
        <v>116</v>
      </c>
      <c r="AA63" t="s">
        <v>116</v>
      </c>
      <c r="AB63" t="s">
        <v>75</v>
      </c>
      <c r="AC63">
        <f t="shared" si="41"/>
        <v>144135.50655161394</v>
      </c>
      <c r="AD63">
        <f t="shared" si="41"/>
        <v>22626.428647521647</v>
      </c>
      <c r="AE63">
        <f t="shared" si="41"/>
        <v>21548.979664306331</v>
      </c>
      <c r="AF63">
        <f t="shared" si="41"/>
        <v>20522.837775529839</v>
      </c>
      <c r="AG63">
        <f t="shared" si="41"/>
        <v>19545.559786218895</v>
      </c>
      <c r="AH63">
        <f t="shared" si="41"/>
        <v>18614.818844017995</v>
      </c>
      <c r="AI63">
        <f t="shared" si="41"/>
        <v>17728.398899064756</v>
      </c>
      <c r="AJ63">
        <f t="shared" si="41"/>
        <v>16884.189427680722</v>
      </c>
      <c r="AK63">
        <f t="shared" si="41"/>
        <v>16080.180407314971</v>
      </c>
      <c r="AL63">
        <f t="shared" si="41"/>
        <v>15314.457530776162</v>
      </c>
      <c r="AM63">
        <f t="shared" si="42"/>
        <v>14585.197648358249</v>
      </c>
      <c r="AN63">
        <f t="shared" si="42"/>
        <v>0</v>
      </c>
      <c r="AO63">
        <f t="shared" si="42"/>
        <v>0</v>
      </c>
      <c r="AP63">
        <f t="shared" si="42"/>
        <v>0</v>
      </c>
      <c r="AQ63">
        <f t="shared" si="42"/>
        <v>0</v>
      </c>
      <c r="AR63">
        <f t="shared" si="42"/>
        <v>0</v>
      </c>
      <c r="AS63">
        <f t="shared" si="42"/>
        <v>0</v>
      </c>
      <c r="AT63">
        <f t="shared" si="42"/>
        <v>0</v>
      </c>
      <c r="AU63">
        <f t="shared" si="42"/>
        <v>0</v>
      </c>
      <c r="AV63">
        <f t="shared" si="42"/>
        <v>0</v>
      </c>
      <c r="AW63">
        <f t="shared" si="43"/>
        <v>0</v>
      </c>
      <c r="AX63">
        <f t="shared" si="43"/>
        <v>0</v>
      </c>
      <c r="AY63">
        <f t="shared" si="43"/>
        <v>0</v>
      </c>
      <c r="AZ63">
        <f t="shared" si="43"/>
        <v>0</v>
      </c>
      <c r="BA63">
        <f t="shared" si="43"/>
        <v>0</v>
      </c>
      <c r="BB63">
        <f t="shared" si="43"/>
        <v>0</v>
      </c>
      <c r="BC63">
        <f t="shared" si="43"/>
        <v>0</v>
      </c>
      <c r="BD63">
        <f t="shared" si="43"/>
        <v>0</v>
      </c>
      <c r="BE63">
        <f t="shared" si="43"/>
        <v>0</v>
      </c>
      <c r="BF63">
        <f t="shared" si="43"/>
        <v>0</v>
      </c>
      <c r="BG63">
        <f t="shared" si="44"/>
        <v>0</v>
      </c>
      <c r="BH63">
        <f t="shared" si="44"/>
        <v>0</v>
      </c>
      <c r="BI63">
        <f t="shared" si="44"/>
        <v>0</v>
      </c>
      <c r="BJ63">
        <f t="shared" si="44"/>
        <v>0</v>
      </c>
      <c r="BK63">
        <f t="shared" si="44"/>
        <v>0</v>
      </c>
      <c r="BL63">
        <f t="shared" si="44"/>
        <v>0</v>
      </c>
      <c r="BM63">
        <f t="shared" si="44"/>
        <v>0</v>
      </c>
      <c r="BN63">
        <f t="shared" si="44"/>
        <v>0</v>
      </c>
      <c r="BO63">
        <f t="shared" si="44"/>
        <v>0</v>
      </c>
      <c r="BP63">
        <f t="shared" si="44"/>
        <v>0</v>
      </c>
      <c r="BQ63">
        <f t="shared" si="45"/>
        <v>0</v>
      </c>
      <c r="BR63">
        <f t="shared" si="45"/>
        <v>0</v>
      </c>
      <c r="BS63">
        <f t="shared" si="45"/>
        <v>0</v>
      </c>
      <c r="BT63">
        <f t="shared" si="45"/>
        <v>0</v>
      </c>
      <c r="BU63">
        <f t="shared" si="45"/>
        <v>0</v>
      </c>
      <c r="BV63">
        <f t="shared" si="45"/>
        <v>0</v>
      </c>
      <c r="BW63">
        <f t="shared" si="45"/>
        <v>0</v>
      </c>
      <c r="BX63">
        <f t="shared" si="45"/>
        <v>0</v>
      </c>
      <c r="BY63">
        <f t="shared" si="45"/>
        <v>0</v>
      </c>
      <c r="BZ63">
        <f t="shared" si="45"/>
        <v>0</v>
      </c>
      <c r="CA63">
        <f t="shared" si="45"/>
        <v>0</v>
      </c>
      <c r="CB63">
        <f t="shared" si="45"/>
        <v>0</v>
      </c>
      <c r="CC63">
        <f t="shared" si="45"/>
        <v>0</v>
      </c>
      <c r="CD63">
        <f t="shared" si="45"/>
        <v>0</v>
      </c>
      <c r="CE63">
        <f t="shared" si="45"/>
        <v>0</v>
      </c>
      <c r="CF63">
        <f t="shared" si="45"/>
        <v>0</v>
      </c>
      <c r="CG63">
        <f t="shared" ref="CG63:CT63" si="55">IF(CG$17&lt;=$H63,1000000*$D63/$H63,IF(CG$17&lt;=($H63+$F63),$E63,0))/(1+WACC)^CG$17</f>
        <v>0</v>
      </c>
      <c r="CH63">
        <f t="shared" si="55"/>
        <v>0</v>
      </c>
      <c r="CI63">
        <f t="shared" si="55"/>
        <v>0</v>
      </c>
      <c r="CJ63">
        <f t="shared" si="55"/>
        <v>0</v>
      </c>
      <c r="CK63">
        <f t="shared" si="55"/>
        <v>0</v>
      </c>
      <c r="CL63">
        <f t="shared" si="55"/>
        <v>0</v>
      </c>
      <c r="CM63">
        <f t="shared" si="55"/>
        <v>0</v>
      </c>
      <c r="CN63">
        <f t="shared" si="55"/>
        <v>0</v>
      </c>
      <c r="CO63">
        <f t="shared" si="55"/>
        <v>0</v>
      </c>
      <c r="CP63">
        <f t="shared" si="55"/>
        <v>0</v>
      </c>
      <c r="CQ63">
        <f t="shared" si="55"/>
        <v>0</v>
      </c>
      <c r="CR63">
        <f t="shared" si="55"/>
        <v>0</v>
      </c>
      <c r="CS63">
        <f t="shared" si="55"/>
        <v>0</v>
      </c>
      <c r="CT63">
        <f t="shared" si="55"/>
        <v>0</v>
      </c>
    </row>
    <row r="64" spans="1:98" x14ac:dyDescent="0.25">
      <c r="A64" t="s">
        <v>81</v>
      </c>
      <c r="B64" t="s">
        <v>104</v>
      </c>
      <c r="C64" s="27">
        <v>0.5</v>
      </c>
      <c r="D64" s="13">
        <f>1.5/EURO_exchange_rate-Heat_capacity_unit_investment_cost/C64</f>
        <v>0.10134228187919461</v>
      </c>
      <c r="E64" s="26">
        <f>100000/EURO_exchange_rate-Heat_capacity_fixed_operating_costs/C64</f>
        <v>9622.8187919463089</v>
      </c>
      <c r="F64" s="23">
        <v>10</v>
      </c>
      <c r="G64" s="23">
        <v>1</v>
      </c>
      <c r="H64" s="12">
        <f t="shared" si="10"/>
        <v>1</v>
      </c>
      <c r="I64" s="23">
        <v>2023</v>
      </c>
      <c r="J64" s="20">
        <f>HLOOKUP($B$8,Prices!$A$28:$V$29,2,FALSE)/HLOOKUP(I64,Prices!$A$28:$V$29,2,FALSE)</f>
        <v>0.90888086466762641</v>
      </c>
      <c r="K64" s="14">
        <f t="shared" si="37"/>
        <v>0.14069007997578778</v>
      </c>
      <c r="L64" s="24">
        <f>L23</f>
        <v>0.93192307692307685</v>
      </c>
      <c r="M64" s="5">
        <v>1</v>
      </c>
      <c r="N64" s="5">
        <f t="shared" si="11"/>
        <v>0.93192307692307685</v>
      </c>
      <c r="O64" s="16">
        <f t="shared" si="38"/>
        <v>20674.411126597377</v>
      </c>
      <c r="P64" s="19">
        <f t="shared" si="35"/>
        <v>20674.411126597381</v>
      </c>
      <c r="Q64" s="6">
        <f t="shared" ref="Q64:Q74" si="56">O64/L64/M64</f>
        <v>22184.675579510189</v>
      </c>
      <c r="R64" s="34">
        <f t="shared" si="36"/>
        <v>0.94986110958247649</v>
      </c>
      <c r="S64" s="13">
        <f>S28</f>
        <v>5.42</v>
      </c>
      <c r="T64" s="11">
        <f>GasoilPriceCentral</f>
        <v>81.568751677852347</v>
      </c>
      <c r="U64" s="22">
        <f>30/(100-30/C64/1.05)</f>
        <v>0.7</v>
      </c>
      <c r="V64" s="6">
        <f t="shared" si="13"/>
        <v>116.52678811121764</v>
      </c>
      <c r="W64" s="26">
        <f>S64*J64+V64*HLOOKUP($B$8,Prices!$A$28:$V$29,2,FALSE)/Prices!$J$29</f>
        <v>110.83510222196333</v>
      </c>
      <c r="X64" t="s">
        <v>116</v>
      </c>
      <c r="Y64" t="s">
        <v>116</v>
      </c>
      <c r="Z64" t="s">
        <v>116</v>
      </c>
      <c r="AA64" t="s">
        <v>116</v>
      </c>
      <c r="AB64" t="s">
        <v>75</v>
      </c>
      <c r="AC64">
        <f t="shared" si="41"/>
        <v>96516.458932566296</v>
      </c>
      <c r="AD64">
        <f t="shared" si="41"/>
        <v>8728.1803101553814</v>
      </c>
      <c r="AE64">
        <f t="shared" si="41"/>
        <v>8312.5526763384587</v>
      </c>
      <c r="AF64">
        <f t="shared" si="41"/>
        <v>7916.7168346080562</v>
      </c>
      <c r="AG64">
        <f t="shared" si="41"/>
        <v>7539.7303186743384</v>
      </c>
      <c r="AH64">
        <f t="shared" si="41"/>
        <v>7180.6955415946095</v>
      </c>
      <c r="AI64">
        <f t="shared" si="41"/>
        <v>6838.7576586615314</v>
      </c>
      <c r="AJ64">
        <f t="shared" si="41"/>
        <v>6513.1025320586023</v>
      </c>
      <c r="AK64">
        <f t="shared" si="41"/>
        <v>6202.9547924367635</v>
      </c>
      <c r="AL64">
        <f t="shared" si="41"/>
        <v>5907.5759927969175</v>
      </c>
      <c r="AM64">
        <f t="shared" si="42"/>
        <v>5626.2628502827783</v>
      </c>
      <c r="AN64">
        <f t="shared" si="42"/>
        <v>0</v>
      </c>
      <c r="AO64">
        <f t="shared" si="42"/>
        <v>0</v>
      </c>
      <c r="AP64">
        <f t="shared" si="42"/>
        <v>0</v>
      </c>
      <c r="AQ64">
        <f t="shared" si="42"/>
        <v>0</v>
      </c>
      <c r="AR64">
        <f t="shared" si="42"/>
        <v>0</v>
      </c>
      <c r="AS64">
        <f t="shared" si="42"/>
        <v>0</v>
      </c>
      <c r="AT64">
        <f t="shared" si="42"/>
        <v>0</v>
      </c>
      <c r="AU64">
        <f t="shared" si="42"/>
        <v>0</v>
      </c>
      <c r="AV64">
        <f t="shared" si="42"/>
        <v>0</v>
      </c>
      <c r="AW64">
        <f t="shared" si="43"/>
        <v>0</v>
      </c>
      <c r="AX64">
        <f t="shared" si="43"/>
        <v>0</v>
      </c>
      <c r="AY64">
        <f t="shared" si="43"/>
        <v>0</v>
      </c>
      <c r="AZ64">
        <f t="shared" si="43"/>
        <v>0</v>
      </c>
      <c r="BA64">
        <f t="shared" si="43"/>
        <v>0</v>
      </c>
      <c r="BB64">
        <f t="shared" si="43"/>
        <v>0</v>
      </c>
      <c r="BC64">
        <f t="shared" si="43"/>
        <v>0</v>
      </c>
      <c r="BD64">
        <f t="shared" si="43"/>
        <v>0</v>
      </c>
      <c r="BE64">
        <f t="shared" si="43"/>
        <v>0</v>
      </c>
      <c r="BF64">
        <f t="shared" si="43"/>
        <v>0</v>
      </c>
      <c r="BG64">
        <f t="shared" si="44"/>
        <v>0</v>
      </c>
      <c r="BH64">
        <f t="shared" si="44"/>
        <v>0</v>
      </c>
      <c r="BI64">
        <f t="shared" si="44"/>
        <v>0</v>
      </c>
      <c r="BJ64">
        <f t="shared" si="44"/>
        <v>0</v>
      </c>
      <c r="BK64">
        <f t="shared" si="44"/>
        <v>0</v>
      </c>
      <c r="BL64">
        <f t="shared" si="44"/>
        <v>0</v>
      </c>
      <c r="BM64">
        <f t="shared" si="44"/>
        <v>0</v>
      </c>
      <c r="BN64">
        <f t="shared" si="44"/>
        <v>0</v>
      </c>
      <c r="BO64">
        <f t="shared" si="44"/>
        <v>0</v>
      </c>
      <c r="BP64">
        <f t="shared" si="44"/>
        <v>0</v>
      </c>
      <c r="BQ64">
        <f t="shared" si="45"/>
        <v>0</v>
      </c>
      <c r="BR64">
        <f t="shared" si="45"/>
        <v>0</v>
      </c>
      <c r="BS64">
        <f t="shared" si="45"/>
        <v>0</v>
      </c>
      <c r="BT64">
        <f t="shared" si="45"/>
        <v>0</v>
      </c>
      <c r="BU64">
        <f t="shared" si="45"/>
        <v>0</v>
      </c>
      <c r="BV64">
        <f t="shared" si="45"/>
        <v>0</v>
      </c>
      <c r="BW64">
        <f t="shared" si="45"/>
        <v>0</v>
      </c>
      <c r="BX64">
        <f t="shared" si="45"/>
        <v>0</v>
      </c>
      <c r="BY64">
        <f t="shared" si="45"/>
        <v>0</v>
      </c>
      <c r="BZ64">
        <f t="shared" si="45"/>
        <v>0</v>
      </c>
      <c r="CA64">
        <f t="shared" si="46"/>
        <v>0</v>
      </c>
      <c r="CB64">
        <f t="shared" si="46"/>
        <v>0</v>
      </c>
      <c r="CC64">
        <f t="shared" si="46"/>
        <v>0</v>
      </c>
      <c r="CD64">
        <f t="shared" si="46"/>
        <v>0</v>
      </c>
      <c r="CE64">
        <f t="shared" si="46"/>
        <v>0</v>
      </c>
      <c r="CF64">
        <f t="shared" si="46"/>
        <v>0</v>
      </c>
      <c r="CG64">
        <f t="shared" si="46"/>
        <v>0</v>
      </c>
      <c r="CH64">
        <f t="shared" si="46"/>
        <v>0</v>
      </c>
      <c r="CI64">
        <f t="shared" si="46"/>
        <v>0</v>
      </c>
      <c r="CJ64">
        <f t="shared" si="46"/>
        <v>0</v>
      </c>
      <c r="CK64">
        <f t="shared" si="46"/>
        <v>0</v>
      </c>
      <c r="CL64">
        <f t="shared" si="46"/>
        <v>0</v>
      </c>
      <c r="CM64">
        <f t="shared" si="46"/>
        <v>0</v>
      </c>
      <c r="CN64">
        <f t="shared" si="46"/>
        <v>0</v>
      </c>
      <c r="CO64">
        <f t="shared" si="46"/>
        <v>0</v>
      </c>
      <c r="CP64">
        <f t="shared" si="46"/>
        <v>0</v>
      </c>
      <c r="CQ64">
        <f t="shared" si="46"/>
        <v>0</v>
      </c>
      <c r="CR64">
        <f t="shared" si="46"/>
        <v>0</v>
      </c>
      <c r="CS64">
        <f t="shared" si="46"/>
        <v>0</v>
      </c>
      <c r="CT64">
        <f t="shared" si="46"/>
        <v>0</v>
      </c>
    </row>
    <row r="65" spans="1:98" x14ac:dyDescent="0.25">
      <c r="A65" t="s">
        <v>82</v>
      </c>
      <c r="B65" t="s">
        <v>109</v>
      </c>
      <c r="C65" s="27">
        <v>0.8</v>
      </c>
      <c r="D65" s="13">
        <f>0.75/EURO_exchange_rate-Heat_capacity_unit_investment_cost/C65</f>
        <v>3.8171140939597309E-2</v>
      </c>
      <c r="E65" s="26">
        <f>75000/EURO_exchange_rate-Heat_capacity_fixed_operating_costs/C65</f>
        <v>7692.1140939597317</v>
      </c>
      <c r="F65" s="23">
        <v>10</v>
      </c>
      <c r="G65" s="23">
        <v>1</v>
      </c>
      <c r="H65" s="12">
        <f t="shared" si="10"/>
        <v>1</v>
      </c>
      <c r="I65" s="23">
        <v>2023</v>
      </c>
      <c r="J65" s="20">
        <f>HLOOKUP($B$8,Prices!$A$28:$V$29,2,FALSE)/HLOOKUP(I65,Prices!$A$28:$V$29,2,FALSE)</f>
        <v>0.90888086466762641</v>
      </c>
      <c r="K65" s="14">
        <f t="shared" si="37"/>
        <v>0.14069007997578778</v>
      </c>
      <c r="L65" s="24">
        <f>L29</f>
        <v>0.95461538461538464</v>
      </c>
      <c r="M65" s="5">
        <v>1</v>
      </c>
      <c r="N65" s="5">
        <f t="shared" si="11"/>
        <v>0.95461538461538464</v>
      </c>
      <c r="O65" s="16">
        <f t="shared" si="38"/>
        <v>11484.120064144106</v>
      </c>
      <c r="P65" s="19">
        <f t="shared" si="35"/>
        <v>11484.120064144105</v>
      </c>
      <c r="Q65" s="6">
        <f t="shared" si="56"/>
        <v>12030.101598217034</v>
      </c>
      <c r="R65" s="34">
        <f t="shared" si="36"/>
        <v>0.51508193624549947</v>
      </c>
      <c r="S65" s="13">
        <f>S23</f>
        <v>4.47</v>
      </c>
      <c r="T65" s="11">
        <f>NatgasPriceSmall</f>
        <v>63.976590604026846</v>
      </c>
      <c r="U65" s="22">
        <f>40/(100-40/C65/1.05)</f>
        <v>0.76363636363636367</v>
      </c>
      <c r="V65" s="6">
        <f t="shared" si="13"/>
        <v>83.778868648130384</v>
      </c>
      <c r="W65" s="26">
        <f>S65*J65+V65*HLOOKUP($B$8,Prices!$A$28:$V$29,2,FALSE)/Prices!$J$29</f>
        <v>80.207708042852531</v>
      </c>
      <c r="X65" t="s">
        <v>116</v>
      </c>
      <c r="Y65" t="s">
        <v>116</v>
      </c>
      <c r="Z65" t="s">
        <v>116</v>
      </c>
      <c r="AA65" t="s">
        <v>116</v>
      </c>
      <c r="AB65" t="s">
        <v>75</v>
      </c>
      <c r="AC65">
        <f t="shared" si="41"/>
        <v>36353.467561521247</v>
      </c>
      <c r="AD65">
        <f t="shared" si="41"/>
        <v>6976.97423488411</v>
      </c>
      <c r="AE65">
        <f t="shared" si="41"/>
        <v>6644.7373665562945</v>
      </c>
      <c r="AF65">
        <f t="shared" si="41"/>
        <v>6328.3213014821858</v>
      </c>
      <c r="AG65">
        <f t="shared" si="41"/>
        <v>6026.9726680782724</v>
      </c>
      <c r="AH65">
        <f t="shared" si="41"/>
        <v>5739.9739695983553</v>
      </c>
      <c r="AI65">
        <f t="shared" si="41"/>
        <v>5466.6418758079562</v>
      </c>
      <c r="AJ65">
        <f t="shared" si="41"/>
        <v>5206.3255960075776</v>
      </c>
      <c r="AK65">
        <f t="shared" si="41"/>
        <v>4958.4053295310259</v>
      </c>
      <c r="AL65">
        <f t="shared" si="41"/>
        <v>4722.2907900295486</v>
      </c>
      <c r="AM65">
        <f t="shared" si="42"/>
        <v>4497.4198000281413</v>
      </c>
      <c r="AN65">
        <f t="shared" si="42"/>
        <v>0</v>
      </c>
      <c r="AO65">
        <f t="shared" si="42"/>
        <v>0</v>
      </c>
      <c r="AP65">
        <f t="shared" si="42"/>
        <v>0</v>
      </c>
      <c r="AQ65">
        <f t="shared" si="42"/>
        <v>0</v>
      </c>
      <c r="AR65">
        <f t="shared" si="42"/>
        <v>0</v>
      </c>
      <c r="AS65">
        <f t="shared" si="42"/>
        <v>0</v>
      </c>
      <c r="AT65">
        <f t="shared" si="42"/>
        <v>0</v>
      </c>
      <c r="AU65">
        <f t="shared" si="42"/>
        <v>0</v>
      </c>
      <c r="AV65">
        <f t="shared" si="42"/>
        <v>0</v>
      </c>
      <c r="AW65">
        <f t="shared" si="43"/>
        <v>0</v>
      </c>
      <c r="AX65">
        <f t="shared" si="43"/>
        <v>0</v>
      </c>
      <c r="AY65">
        <f t="shared" si="43"/>
        <v>0</v>
      </c>
      <c r="AZ65">
        <f t="shared" si="43"/>
        <v>0</v>
      </c>
      <c r="BA65">
        <f t="shared" si="43"/>
        <v>0</v>
      </c>
      <c r="BB65">
        <f t="shared" si="43"/>
        <v>0</v>
      </c>
      <c r="BC65">
        <f t="shared" si="43"/>
        <v>0</v>
      </c>
      <c r="BD65">
        <f t="shared" si="43"/>
        <v>0</v>
      </c>
      <c r="BE65">
        <f t="shared" si="43"/>
        <v>0</v>
      </c>
      <c r="BF65">
        <f t="shared" si="43"/>
        <v>0</v>
      </c>
      <c r="BG65">
        <f t="shared" si="44"/>
        <v>0</v>
      </c>
      <c r="BH65">
        <f t="shared" si="44"/>
        <v>0</v>
      </c>
      <c r="BI65">
        <f t="shared" si="44"/>
        <v>0</v>
      </c>
      <c r="BJ65">
        <f t="shared" si="44"/>
        <v>0</v>
      </c>
      <c r="BK65">
        <f t="shared" si="44"/>
        <v>0</v>
      </c>
      <c r="BL65">
        <f t="shared" si="44"/>
        <v>0</v>
      </c>
      <c r="BM65">
        <f t="shared" si="44"/>
        <v>0</v>
      </c>
      <c r="BN65">
        <f t="shared" si="44"/>
        <v>0</v>
      </c>
      <c r="BO65">
        <f t="shared" si="44"/>
        <v>0</v>
      </c>
      <c r="BP65">
        <f t="shared" si="44"/>
        <v>0</v>
      </c>
      <c r="BQ65">
        <f t="shared" si="45"/>
        <v>0</v>
      </c>
      <c r="BR65">
        <f t="shared" si="45"/>
        <v>0</v>
      </c>
      <c r="BS65">
        <f t="shared" si="45"/>
        <v>0</v>
      </c>
      <c r="BT65">
        <f t="shared" si="45"/>
        <v>0</v>
      </c>
      <c r="BU65">
        <f t="shared" si="45"/>
        <v>0</v>
      </c>
      <c r="BV65">
        <f t="shared" si="45"/>
        <v>0</v>
      </c>
      <c r="BW65">
        <f t="shared" si="45"/>
        <v>0</v>
      </c>
      <c r="BX65">
        <f t="shared" si="45"/>
        <v>0</v>
      </c>
      <c r="BY65">
        <f t="shared" si="45"/>
        <v>0</v>
      </c>
      <c r="BZ65">
        <f t="shared" si="45"/>
        <v>0</v>
      </c>
      <c r="CA65">
        <f t="shared" si="46"/>
        <v>0</v>
      </c>
      <c r="CB65">
        <f t="shared" si="46"/>
        <v>0</v>
      </c>
      <c r="CC65">
        <f t="shared" si="46"/>
        <v>0</v>
      </c>
      <c r="CD65">
        <f t="shared" si="46"/>
        <v>0</v>
      </c>
      <c r="CE65">
        <f t="shared" si="46"/>
        <v>0</v>
      </c>
      <c r="CF65">
        <f t="shared" si="46"/>
        <v>0</v>
      </c>
      <c r="CG65">
        <f t="shared" si="46"/>
        <v>0</v>
      </c>
      <c r="CH65">
        <f t="shared" si="46"/>
        <v>0</v>
      </c>
      <c r="CI65">
        <f t="shared" si="46"/>
        <v>0</v>
      </c>
      <c r="CJ65">
        <f t="shared" si="46"/>
        <v>0</v>
      </c>
      <c r="CK65">
        <f t="shared" si="46"/>
        <v>0</v>
      </c>
      <c r="CL65">
        <f t="shared" si="46"/>
        <v>0</v>
      </c>
      <c r="CM65">
        <f t="shared" si="46"/>
        <v>0</v>
      </c>
      <c r="CN65">
        <f t="shared" si="46"/>
        <v>0</v>
      </c>
      <c r="CO65">
        <f t="shared" si="46"/>
        <v>0</v>
      </c>
      <c r="CP65">
        <f t="shared" si="46"/>
        <v>0</v>
      </c>
      <c r="CQ65">
        <f t="shared" si="46"/>
        <v>0</v>
      </c>
      <c r="CR65">
        <f t="shared" si="46"/>
        <v>0</v>
      </c>
      <c r="CS65">
        <f t="shared" si="46"/>
        <v>0</v>
      </c>
      <c r="CT65">
        <f t="shared" si="46"/>
        <v>0</v>
      </c>
    </row>
    <row r="66" spans="1:98" x14ac:dyDescent="0.25">
      <c r="A66" t="s">
        <v>193</v>
      </c>
      <c r="B66" t="s">
        <v>195</v>
      </c>
      <c r="C66" s="9" t="s">
        <v>118</v>
      </c>
      <c r="D66" s="27">
        <v>0</v>
      </c>
      <c r="E66" s="27">
        <v>15000</v>
      </c>
      <c r="F66" s="23">
        <v>10</v>
      </c>
      <c r="G66" s="23">
        <v>1</v>
      </c>
      <c r="H66" s="23">
        <v>0</v>
      </c>
      <c r="I66" s="23">
        <v>2017</v>
      </c>
      <c r="J66" s="20">
        <f>HLOOKUP($B$8,Prices!$A$28:$V$29,2,FALSE)/HLOOKUP(I66,Prices!$A$28:$V$29,2,FALSE)</f>
        <v>1.0511788581563759</v>
      </c>
      <c r="K66" s="14">
        <f t="shared" si="37"/>
        <v>0.14069007997578778</v>
      </c>
      <c r="L66" s="24">
        <v>0.97</v>
      </c>
      <c r="M66" s="5">
        <v>1</v>
      </c>
      <c r="N66" s="5">
        <f t="shared" ref="N66" si="57">L66*M66</f>
        <v>0.97</v>
      </c>
      <c r="O66" s="16">
        <f t="shared" ref="O66" si="58">J66*SUM(AC66:CT66)*WACC*(1+WACC)^(F66+G66)/((1+WACC)^F66-1)</f>
        <v>16556.067015962919</v>
      </c>
      <c r="P66" s="19">
        <f t="shared" si="35"/>
        <v>15767.682872345638</v>
      </c>
      <c r="Q66" s="6">
        <f t="shared" ref="Q66" si="59">O66/L66/M66</f>
        <v>17068.110325734968</v>
      </c>
      <c r="R66" s="34">
        <f t="shared" ref="R66" si="60">Q66/VOLL</f>
        <v>0.73078978118807769</v>
      </c>
      <c r="S66" s="13">
        <v>0</v>
      </c>
      <c r="T66" s="11">
        <v>0</v>
      </c>
      <c r="U66" s="22">
        <v>1</v>
      </c>
      <c r="V66" s="6">
        <f t="shared" ref="V66" si="61">T66/U66</f>
        <v>0</v>
      </c>
      <c r="W66" s="26">
        <f>S66*J66+V66*HLOOKUP($B$8,Prices!$A$28:$V$29,2,FALSE)/Prices!$J$29</f>
        <v>0</v>
      </c>
      <c r="X66" t="s">
        <v>116</v>
      </c>
      <c r="Y66" t="s">
        <v>116</v>
      </c>
      <c r="Z66" t="s">
        <v>116</v>
      </c>
      <c r="AA66" t="s">
        <v>115</v>
      </c>
      <c r="AB66" t="s">
        <v>75</v>
      </c>
      <c r="AC66">
        <f t="shared" si="41"/>
        <v>14285.714285714284</v>
      </c>
      <c r="AD66">
        <f t="shared" si="41"/>
        <v>13605.442176870747</v>
      </c>
      <c r="AE66">
        <f t="shared" si="41"/>
        <v>12957.56397797214</v>
      </c>
      <c r="AF66">
        <f t="shared" si="41"/>
        <v>12340.537121878229</v>
      </c>
      <c r="AG66">
        <f t="shared" si="41"/>
        <v>11752.892497026884</v>
      </c>
      <c r="AH66">
        <f t="shared" si="41"/>
        <v>11193.230949549416</v>
      </c>
      <c r="AI66">
        <f t="shared" si="41"/>
        <v>10660.219951951822</v>
      </c>
      <c r="AJ66">
        <f t="shared" si="41"/>
        <v>10152.590430430308</v>
      </c>
      <c r="AK66">
        <f t="shared" si="41"/>
        <v>9669.1337432669588</v>
      </c>
      <c r="AL66">
        <f t="shared" si="41"/>
        <v>9208.6988031113906</v>
      </c>
      <c r="AM66">
        <f t="shared" si="42"/>
        <v>0</v>
      </c>
      <c r="AN66">
        <f t="shared" si="42"/>
        <v>0</v>
      </c>
      <c r="AO66">
        <f t="shared" si="42"/>
        <v>0</v>
      </c>
      <c r="AP66">
        <f t="shared" si="42"/>
        <v>0</v>
      </c>
      <c r="AQ66">
        <f t="shared" si="42"/>
        <v>0</v>
      </c>
      <c r="AR66">
        <f t="shared" si="42"/>
        <v>0</v>
      </c>
      <c r="AS66">
        <f t="shared" si="42"/>
        <v>0</v>
      </c>
      <c r="AT66">
        <f t="shared" si="42"/>
        <v>0</v>
      </c>
      <c r="AU66">
        <f t="shared" si="42"/>
        <v>0</v>
      </c>
      <c r="AV66">
        <f t="shared" si="42"/>
        <v>0</v>
      </c>
      <c r="AW66">
        <f t="shared" si="43"/>
        <v>0</v>
      </c>
      <c r="AX66">
        <f t="shared" si="43"/>
        <v>0</v>
      </c>
      <c r="AY66">
        <f t="shared" si="43"/>
        <v>0</v>
      </c>
      <c r="AZ66">
        <f t="shared" si="43"/>
        <v>0</v>
      </c>
      <c r="BA66">
        <f t="shared" si="43"/>
        <v>0</v>
      </c>
      <c r="BB66">
        <f t="shared" si="43"/>
        <v>0</v>
      </c>
      <c r="BC66">
        <f t="shared" si="43"/>
        <v>0</v>
      </c>
      <c r="BD66">
        <f t="shared" si="43"/>
        <v>0</v>
      </c>
      <c r="BE66">
        <f t="shared" si="43"/>
        <v>0</v>
      </c>
      <c r="BF66">
        <f t="shared" si="43"/>
        <v>0</v>
      </c>
      <c r="BG66">
        <f t="shared" si="44"/>
        <v>0</v>
      </c>
      <c r="BH66">
        <f t="shared" si="44"/>
        <v>0</v>
      </c>
      <c r="BI66">
        <f t="shared" si="44"/>
        <v>0</v>
      </c>
      <c r="BJ66">
        <f t="shared" si="44"/>
        <v>0</v>
      </c>
      <c r="BK66">
        <f t="shared" si="44"/>
        <v>0</v>
      </c>
      <c r="BL66">
        <f t="shared" si="44"/>
        <v>0</v>
      </c>
      <c r="BM66">
        <f t="shared" si="44"/>
        <v>0</v>
      </c>
      <c r="BN66">
        <f t="shared" si="44"/>
        <v>0</v>
      </c>
      <c r="BO66">
        <f t="shared" si="44"/>
        <v>0</v>
      </c>
      <c r="BP66">
        <f t="shared" si="44"/>
        <v>0</v>
      </c>
      <c r="BQ66">
        <f t="shared" si="45"/>
        <v>0</v>
      </c>
      <c r="BR66">
        <f t="shared" si="45"/>
        <v>0</v>
      </c>
      <c r="BS66">
        <f t="shared" si="45"/>
        <v>0</v>
      </c>
      <c r="BT66">
        <f t="shared" si="45"/>
        <v>0</v>
      </c>
      <c r="BU66">
        <f t="shared" si="45"/>
        <v>0</v>
      </c>
      <c r="BV66">
        <f t="shared" si="45"/>
        <v>0</v>
      </c>
      <c r="BW66">
        <f t="shared" si="45"/>
        <v>0</v>
      </c>
      <c r="BX66">
        <f t="shared" si="45"/>
        <v>0</v>
      </c>
      <c r="BY66">
        <f t="shared" si="45"/>
        <v>0</v>
      </c>
      <c r="BZ66">
        <f t="shared" si="45"/>
        <v>0</v>
      </c>
      <c r="CA66">
        <f t="shared" si="46"/>
        <v>0</v>
      </c>
      <c r="CB66">
        <f t="shared" ref="CB66:CT66" si="62">IF(CB$17&lt;=$H66,1000000*$D66/$H66,IF(CB$17&lt;=($H66+$F66),$E66,0))/(1+WACC)^CB$17</f>
        <v>0</v>
      </c>
      <c r="CC66">
        <f t="shared" si="62"/>
        <v>0</v>
      </c>
      <c r="CD66">
        <f t="shared" si="62"/>
        <v>0</v>
      </c>
      <c r="CE66">
        <f t="shared" si="62"/>
        <v>0</v>
      </c>
      <c r="CF66">
        <f t="shared" si="62"/>
        <v>0</v>
      </c>
      <c r="CG66">
        <f t="shared" si="62"/>
        <v>0</v>
      </c>
      <c r="CH66">
        <f t="shared" si="62"/>
        <v>0</v>
      </c>
      <c r="CI66">
        <f t="shared" si="62"/>
        <v>0</v>
      </c>
      <c r="CJ66">
        <f t="shared" si="62"/>
        <v>0</v>
      </c>
      <c r="CK66">
        <f t="shared" si="62"/>
        <v>0</v>
      </c>
      <c r="CL66">
        <f t="shared" si="62"/>
        <v>0</v>
      </c>
      <c r="CM66">
        <f t="shared" si="62"/>
        <v>0</v>
      </c>
      <c r="CN66">
        <f t="shared" si="62"/>
        <v>0</v>
      </c>
      <c r="CO66">
        <f t="shared" si="62"/>
        <v>0</v>
      </c>
      <c r="CP66">
        <f t="shared" si="62"/>
        <v>0</v>
      </c>
      <c r="CQ66">
        <f t="shared" si="62"/>
        <v>0</v>
      </c>
      <c r="CR66">
        <f t="shared" si="62"/>
        <v>0</v>
      </c>
      <c r="CS66">
        <f t="shared" si="62"/>
        <v>0</v>
      </c>
      <c r="CT66">
        <f t="shared" si="62"/>
        <v>0</v>
      </c>
    </row>
    <row r="67" spans="1:98" x14ac:dyDescent="0.25">
      <c r="A67" t="s">
        <v>194</v>
      </c>
      <c r="B67" t="s">
        <v>196</v>
      </c>
      <c r="C67" s="9" t="s">
        <v>118</v>
      </c>
      <c r="D67" s="27">
        <v>0</v>
      </c>
      <c r="E67" s="27">
        <v>250000</v>
      </c>
      <c r="F67" s="23">
        <v>10</v>
      </c>
      <c r="G67" s="23">
        <v>1</v>
      </c>
      <c r="H67" s="23">
        <v>0</v>
      </c>
      <c r="I67" s="23">
        <v>2017</v>
      </c>
      <c r="J67" s="20">
        <f>HLOOKUP($B$8,Prices!$A$28:$V$29,2,FALSE)/HLOOKUP(I67,Prices!$A$28:$V$29,2,FALSE)</f>
        <v>1.0511788581563759</v>
      </c>
      <c r="K67" s="14">
        <f t="shared" si="37"/>
        <v>0.14069007997578778</v>
      </c>
      <c r="L67" s="24">
        <v>0.97</v>
      </c>
      <c r="M67" s="5">
        <v>1</v>
      </c>
      <c r="N67" s="5">
        <f t="shared" si="11"/>
        <v>0.97</v>
      </c>
      <c r="O67" s="16">
        <f t="shared" si="38"/>
        <v>275934.45026604866</v>
      </c>
      <c r="P67" s="19">
        <f t="shared" si="35"/>
        <v>262794.71453909395</v>
      </c>
      <c r="Q67" s="6">
        <f t="shared" si="56"/>
        <v>284468.50542891613</v>
      </c>
      <c r="R67" s="34">
        <f t="shared" si="36"/>
        <v>12.179829686467961</v>
      </c>
      <c r="S67" s="13">
        <v>0</v>
      </c>
      <c r="T67" s="11">
        <v>0</v>
      </c>
      <c r="U67" s="22">
        <v>1</v>
      </c>
      <c r="V67" s="6">
        <f t="shared" si="13"/>
        <v>0</v>
      </c>
      <c r="W67" s="26">
        <f>S67*J67+V67*HLOOKUP($B$8,Prices!$A$28:$V$29,2,FALSE)/Prices!$J$29</f>
        <v>0</v>
      </c>
      <c r="X67" s="29" t="s">
        <v>116</v>
      </c>
      <c r="Y67" s="29" t="s">
        <v>115</v>
      </c>
      <c r="Z67" s="29" t="s">
        <v>116</v>
      </c>
      <c r="AA67" t="s">
        <v>115</v>
      </c>
      <c r="AB67" t="s">
        <v>75</v>
      </c>
      <c r="AC67">
        <f t="shared" si="41"/>
        <v>238095.23809523808</v>
      </c>
      <c r="AD67">
        <f t="shared" si="41"/>
        <v>226757.36961451246</v>
      </c>
      <c r="AE67">
        <f t="shared" si="41"/>
        <v>215959.399632869</v>
      </c>
      <c r="AF67">
        <f t="shared" si="41"/>
        <v>205675.61869797049</v>
      </c>
      <c r="AG67">
        <f t="shared" si="41"/>
        <v>195881.54161711474</v>
      </c>
      <c r="AH67">
        <f t="shared" si="41"/>
        <v>186553.8491591569</v>
      </c>
      <c r="AI67">
        <f t="shared" si="41"/>
        <v>177670.33253253036</v>
      </c>
      <c r="AJ67">
        <f t="shared" si="41"/>
        <v>169209.84050717179</v>
      </c>
      <c r="AK67">
        <f t="shared" si="41"/>
        <v>161152.22905444933</v>
      </c>
      <c r="AL67">
        <f t="shared" si="41"/>
        <v>153478.31338518983</v>
      </c>
      <c r="AM67">
        <f t="shared" si="42"/>
        <v>0</v>
      </c>
      <c r="AN67">
        <f t="shared" si="42"/>
        <v>0</v>
      </c>
      <c r="AO67">
        <f t="shared" si="42"/>
        <v>0</v>
      </c>
      <c r="AP67">
        <f t="shared" si="42"/>
        <v>0</v>
      </c>
      <c r="AQ67">
        <f t="shared" si="42"/>
        <v>0</v>
      </c>
      <c r="AR67">
        <f t="shared" si="42"/>
        <v>0</v>
      </c>
      <c r="AS67">
        <f t="shared" si="42"/>
        <v>0</v>
      </c>
      <c r="AT67">
        <f t="shared" si="42"/>
        <v>0</v>
      </c>
      <c r="AU67">
        <f t="shared" si="42"/>
        <v>0</v>
      </c>
      <c r="AV67">
        <f t="shared" si="42"/>
        <v>0</v>
      </c>
      <c r="AW67">
        <f t="shared" si="43"/>
        <v>0</v>
      </c>
      <c r="AX67">
        <f t="shared" si="43"/>
        <v>0</v>
      </c>
      <c r="AY67">
        <f t="shared" si="43"/>
        <v>0</v>
      </c>
      <c r="AZ67">
        <f t="shared" si="43"/>
        <v>0</v>
      </c>
      <c r="BA67">
        <f t="shared" si="43"/>
        <v>0</v>
      </c>
      <c r="BB67">
        <f t="shared" si="43"/>
        <v>0</v>
      </c>
      <c r="BC67">
        <f t="shared" si="43"/>
        <v>0</v>
      </c>
      <c r="BD67">
        <f t="shared" si="43"/>
        <v>0</v>
      </c>
      <c r="BE67">
        <f t="shared" si="43"/>
        <v>0</v>
      </c>
      <c r="BF67">
        <f t="shared" si="43"/>
        <v>0</v>
      </c>
      <c r="BG67">
        <f t="shared" si="44"/>
        <v>0</v>
      </c>
      <c r="BH67">
        <f t="shared" si="44"/>
        <v>0</v>
      </c>
      <c r="BI67">
        <f t="shared" si="44"/>
        <v>0</v>
      </c>
      <c r="BJ67">
        <f t="shared" si="44"/>
        <v>0</v>
      </c>
      <c r="BK67">
        <f t="shared" si="44"/>
        <v>0</v>
      </c>
      <c r="BL67">
        <f t="shared" si="44"/>
        <v>0</v>
      </c>
      <c r="BM67">
        <f t="shared" si="44"/>
        <v>0</v>
      </c>
      <c r="BN67">
        <f t="shared" si="44"/>
        <v>0</v>
      </c>
      <c r="BO67">
        <f t="shared" si="44"/>
        <v>0</v>
      </c>
      <c r="BP67">
        <f t="shared" si="44"/>
        <v>0</v>
      </c>
      <c r="BQ67">
        <f t="shared" si="45"/>
        <v>0</v>
      </c>
      <c r="BR67">
        <f t="shared" si="45"/>
        <v>0</v>
      </c>
      <c r="BS67">
        <f t="shared" si="45"/>
        <v>0</v>
      </c>
      <c r="BT67">
        <f t="shared" si="45"/>
        <v>0</v>
      </c>
      <c r="BU67">
        <f t="shared" si="45"/>
        <v>0</v>
      </c>
      <c r="BV67">
        <f t="shared" si="45"/>
        <v>0</v>
      </c>
      <c r="BW67">
        <f t="shared" si="45"/>
        <v>0</v>
      </c>
      <c r="BX67">
        <f t="shared" si="45"/>
        <v>0</v>
      </c>
      <c r="BY67">
        <f t="shared" si="45"/>
        <v>0</v>
      </c>
      <c r="BZ67">
        <f t="shared" si="45"/>
        <v>0</v>
      </c>
      <c r="CA67">
        <f t="shared" si="46"/>
        <v>0</v>
      </c>
      <c r="CB67">
        <f t="shared" si="46"/>
        <v>0</v>
      </c>
      <c r="CC67">
        <f t="shared" si="46"/>
        <v>0</v>
      </c>
      <c r="CD67">
        <f t="shared" si="46"/>
        <v>0</v>
      </c>
      <c r="CE67">
        <f t="shared" si="46"/>
        <v>0</v>
      </c>
      <c r="CF67">
        <f t="shared" si="46"/>
        <v>0</v>
      </c>
      <c r="CG67">
        <f t="shared" si="46"/>
        <v>0</v>
      </c>
      <c r="CH67">
        <f t="shared" si="46"/>
        <v>0</v>
      </c>
      <c r="CI67">
        <f t="shared" si="46"/>
        <v>0</v>
      </c>
      <c r="CJ67">
        <f t="shared" si="46"/>
        <v>0</v>
      </c>
      <c r="CK67">
        <f t="shared" si="46"/>
        <v>0</v>
      </c>
      <c r="CL67">
        <f t="shared" si="46"/>
        <v>0</v>
      </c>
      <c r="CM67">
        <f t="shared" si="46"/>
        <v>0</v>
      </c>
      <c r="CN67">
        <f t="shared" si="46"/>
        <v>0</v>
      </c>
      <c r="CO67">
        <f t="shared" si="46"/>
        <v>0</v>
      </c>
      <c r="CP67">
        <f t="shared" si="46"/>
        <v>0</v>
      </c>
      <c r="CQ67">
        <f t="shared" si="46"/>
        <v>0</v>
      </c>
      <c r="CR67">
        <f t="shared" si="46"/>
        <v>0</v>
      </c>
      <c r="CS67">
        <f t="shared" si="46"/>
        <v>0</v>
      </c>
      <c r="CT67">
        <f t="shared" si="46"/>
        <v>0</v>
      </c>
    </row>
    <row r="68" spans="1:98" x14ac:dyDescent="0.25">
      <c r="A68" t="s">
        <v>197</v>
      </c>
      <c r="B68" t="s">
        <v>201</v>
      </c>
      <c r="C68" s="9" t="s">
        <v>118</v>
      </c>
      <c r="D68" s="27">
        <v>0</v>
      </c>
      <c r="E68" s="26">
        <f>120*0.6/EURO_exchange_rate*1000</f>
        <v>9664.4295302013434</v>
      </c>
      <c r="F68" s="23">
        <v>10</v>
      </c>
      <c r="G68" s="23">
        <v>1</v>
      </c>
      <c r="H68" s="23">
        <v>0</v>
      </c>
      <c r="I68" s="23">
        <v>2021</v>
      </c>
      <c r="J68" s="20">
        <f>HLOOKUP($B$8,Prices!$A$28:$V$29,2,FALSE)/HLOOKUP(I68,Prices!$A$28:$V$29,2,FALSE)</f>
        <v>0.97486126026807207</v>
      </c>
      <c r="K68" s="14">
        <f t="shared" ref="K68:K71" si="63">$B$10/(1-(1+$B$10)^(-F68+G68))</f>
        <v>0.14069007997578778</v>
      </c>
      <c r="L68" s="24">
        <v>1</v>
      </c>
      <c r="M68" s="5">
        <v>0.2</v>
      </c>
      <c r="N68" s="5">
        <f t="shared" si="11"/>
        <v>0.2</v>
      </c>
      <c r="O68" s="16">
        <f t="shared" ref="O68:O71" si="64">J68*SUM(AC68:CT68)*WACC*(1+WACC)^(F68+G68)/((1+WACC)^F68-1)</f>
        <v>9892.5518491632538</v>
      </c>
      <c r="P68" s="19">
        <f t="shared" ref="P68:P71" si="65">J68*(D68*1000000*WACC/(1-(1+WACC)^-F68)+E68)</f>
        <v>9421.4779515840528</v>
      </c>
      <c r="Q68" s="6">
        <f t="shared" ref="Q68:Q71" si="66">O68/L68/M68</f>
        <v>49462.759245816269</v>
      </c>
      <c r="R68" s="34">
        <f t="shared" ref="R68:R71" si="67">Q68/VOLL</f>
        <v>2.1178020481685702</v>
      </c>
      <c r="S68" s="13">
        <v>0</v>
      </c>
      <c r="T68" s="11">
        <v>0</v>
      </c>
      <c r="U68" s="22">
        <v>1</v>
      </c>
      <c r="V68" s="6">
        <f t="shared" ref="V68:V71" si="68">T68/U68</f>
        <v>0</v>
      </c>
      <c r="W68" s="26">
        <f>S68*J68+V68*HLOOKUP($B$8,Prices!$A$28:$V$29,2,FALSE)/Prices!$J$29</f>
        <v>0</v>
      </c>
      <c r="X68" s="29" t="s">
        <v>116</v>
      </c>
      <c r="Y68" s="29" t="s">
        <v>115</v>
      </c>
      <c r="Z68" s="29" t="s">
        <v>116</v>
      </c>
      <c r="AA68" t="s">
        <v>115</v>
      </c>
      <c r="AB68" t="s">
        <v>75</v>
      </c>
      <c r="AC68">
        <f t="shared" si="41"/>
        <v>9204.2186001917544</v>
      </c>
      <c r="AD68">
        <f t="shared" si="41"/>
        <v>8765.9224763730999</v>
      </c>
      <c r="AE68">
        <f t="shared" si="41"/>
        <v>8348.4975965458088</v>
      </c>
      <c r="AF68">
        <f t="shared" si="41"/>
        <v>7950.9500919483908</v>
      </c>
      <c r="AG68">
        <f t="shared" si="41"/>
        <v>7572.3334209032282</v>
      </c>
      <c r="AH68">
        <f t="shared" si="41"/>
        <v>7211.7461151459329</v>
      </c>
      <c r="AI68">
        <f t="shared" si="41"/>
        <v>6868.3296334723154</v>
      </c>
      <c r="AJ68">
        <f t="shared" si="41"/>
        <v>6541.2663175926818</v>
      </c>
      <c r="AK68">
        <f t="shared" si="41"/>
        <v>6229.7774453263637</v>
      </c>
      <c r="AL68">
        <f t="shared" si="41"/>
        <v>5933.121376501299</v>
      </c>
      <c r="AM68">
        <f t="shared" si="42"/>
        <v>0</v>
      </c>
      <c r="AN68">
        <f t="shared" si="42"/>
        <v>0</v>
      </c>
      <c r="AO68">
        <f t="shared" si="42"/>
        <v>0</v>
      </c>
      <c r="AP68">
        <f t="shared" si="42"/>
        <v>0</v>
      </c>
      <c r="AQ68">
        <f t="shared" si="42"/>
        <v>0</v>
      </c>
      <c r="AR68">
        <f t="shared" si="42"/>
        <v>0</v>
      </c>
      <c r="AS68">
        <f t="shared" si="42"/>
        <v>0</v>
      </c>
      <c r="AT68">
        <f t="shared" si="42"/>
        <v>0</v>
      </c>
      <c r="AU68">
        <f t="shared" si="42"/>
        <v>0</v>
      </c>
      <c r="AV68">
        <f t="shared" si="42"/>
        <v>0</v>
      </c>
      <c r="AW68">
        <f t="shared" si="43"/>
        <v>0</v>
      </c>
      <c r="AX68">
        <f t="shared" si="43"/>
        <v>0</v>
      </c>
      <c r="AY68">
        <f t="shared" si="43"/>
        <v>0</v>
      </c>
      <c r="AZ68">
        <f t="shared" si="43"/>
        <v>0</v>
      </c>
      <c r="BA68">
        <f t="shared" si="43"/>
        <v>0</v>
      </c>
      <c r="BB68">
        <f t="shared" si="43"/>
        <v>0</v>
      </c>
      <c r="BC68">
        <f t="shared" si="43"/>
        <v>0</v>
      </c>
      <c r="BD68">
        <f t="shared" si="43"/>
        <v>0</v>
      </c>
      <c r="BE68">
        <f t="shared" si="43"/>
        <v>0</v>
      </c>
      <c r="BF68">
        <f t="shared" si="43"/>
        <v>0</v>
      </c>
      <c r="BG68">
        <f t="shared" si="44"/>
        <v>0</v>
      </c>
      <c r="BH68">
        <f t="shared" si="44"/>
        <v>0</v>
      </c>
      <c r="BI68">
        <f t="shared" si="44"/>
        <v>0</v>
      </c>
      <c r="BJ68">
        <f t="shared" si="44"/>
        <v>0</v>
      </c>
      <c r="BK68">
        <f t="shared" si="44"/>
        <v>0</v>
      </c>
      <c r="BL68">
        <f t="shared" si="44"/>
        <v>0</v>
      </c>
      <c r="BM68">
        <f t="shared" si="44"/>
        <v>0</v>
      </c>
      <c r="BN68">
        <f t="shared" si="44"/>
        <v>0</v>
      </c>
      <c r="BO68">
        <f t="shared" si="44"/>
        <v>0</v>
      </c>
      <c r="BP68">
        <f t="shared" si="44"/>
        <v>0</v>
      </c>
      <c r="BQ68">
        <f t="shared" si="45"/>
        <v>0</v>
      </c>
      <c r="BR68">
        <f t="shared" si="45"/>
        <v>0</v>
      </c>
      <c r="BS68">
        <f t="shared" si="45"/>
        <v>0</v>
      </c>
      <c r="BT68">
        <f t="shared" si="45"/>
        <v>0</v>
      </c>
      <c r="BU68">
        <f t="shared" si="45"/>
        <v>0</v>
      </c>
      <c r="BV68">
        <f t="shared" si="45"/>
        <v>0</v>
      </c>
      <c r="BW68">
        <f t="shared" si="45"/>
        <v>0</v>
      </c>
      <c r="BX68">
        <f t="shared" si="45"/>
        <v>0</v>
      </c>
      <c r="BY68">
        <f t="shared" si="45"/>
        <v>0</v>
      </c>
      <c r="BZ68">
        <f t="shared" si="45"/>
        <v>0</v>
      </c>
      <c r="CA68">
        <f t="shared" si="46"/>
        <v>0</v>
      </c>
      <c r="CB68">
        <f t="shared" si="46"/>
        <v>0</v>
      </c>
      <c r="CC68">
        <f t="shared" si="46"/>
        <v>0</v>
      </c>
      <c r="CD68">
        <f t="shared" si="46"/>
        <v>0</v>
      </c>
      <c r="CE68">
        <f t="shared" si="46"/>
        <v>0</v>
      </c>
      <c r="CF68">
        <f t="shared" si="46"/>
        <v>0</v>
      </c>
      <c r="CG68">
        <f t="shared" si="46"/>
        <v>0</v>
      </c>
      <c r="CH68">
        <f t="shared" si="46"/>
        <v>0</v>
      </c>
      <c r="CI68">
        <f t="shared" si="46"/>
        <v>0</v>
      </c>
      <c r="CJ68">
        <f t="shared" si="46"/>
        <v>0</v>
      </c>
      <c r="CK68">
        <f t="shared" si="46"/>
        <v>0</v>
      </c>
      <c r="CL68">
        <f t="shared" si="46"/>
        <v>0</v>
      </c>
      <c r="CM68">
        <f t="shared" si="46"/>
        <v>0</v>
      </c>
      <c r="CN68">
        <f t="shared" si="46"/>
        <v>0</v>
      </c>
      <c r="CO68">
        <f t="shared" si="46"/>
        <v>0</v>
      </c>
      <c r="CP68">
        <f t="shared" si="46"/>
        <v>0</v>
      </c>
      <c r="CQ68">
        <f t="shared" si="46"/>
        <v>0</v>
      </c>
      <c r="CR68">
        <f t="shared" si="46"/>
        <v>0</v>
      </c>
      <c r="CS68">
        <f t="shared" si="46"/>
        <v>0</v>
      </c>
      <c r="CT68">
        <f t="shared" si="46"/>
        <v>0</v>
      </c>
    </row>
    <row r="69" spans="1:98" x14ac:dyDescent="0.25">
      <c r="A69" t="s">
        <v>198</v>
      </c>
      <c r="B69" t="s">
        <v>202</v>
      </c>
      <c r="C69" s="9" t="s">
        <v>118</v>
      </c>
      <c r="D69" s="27">
        <v>0</v>
      </c>
      <c r="E69" s="26">
        <f>4300*0.6/EURO_exchange_rate*1000</f>
        <v>346308.72483221476</v>
      </c>
      <c r="F69" s="23">
        <v>10</v>
      </c>
      <c r="G69" s="23">
        <v>1</v>
      </c>
      <c r="H69" s="23">
        <v>0</v>
      </c>
      <c r="I69" s="23">
        <v>2021</v>
      </c>
      <c r="J69" s="20">
        <f>HLOOKUP($B$8,Prices!$A$28:$V$29,2,FALSE)/HLOOKUP(I69,Prices!$A$28:$V$29,2,FALSE)</f>
        <v>0.97486126026807207</v>
      </c>
      <c r="K69" s="14">
        <f t="shared" si="63"/>
        <v>0.14069007997578778</v>
      </c>
      <c r="L69" s="24">
        <v>1</v>
      </c>
      <c r="M69" s="5">
        <v>0.2</v>
      </c>
      <c r="N69" s="5">
        <f t="shared" si="11"/>
        <v>0.2</v>
      </c>
      <c r="O69" s="16">
        <f t="shared" si="64"/>
        <v>354483.10792835004</v>
      </c>
      <c r="P69" s="19">
        <f t="shared" si="65"/>
        <v>337602.9599317619</v>
      </c>
      <c r="Q69" s="6">
        <f t="shared" si="66"/>
        <v>1772415.53964175</v>
      </c>
      <c r="R69" s="34">
        <f t="shared" si="67"/>
        <v>75.887906726040441</v>
      </c>
      <c r="S69" s="13">
        <v>0</v>
      </c>
      <c r="T69" s="11">
        <v>0</v>
      </c>
      <c r="U69" s="22">
        <v>1</v>
      </c>
      <c r="V69" s="6">
        <f t="shared" si="68"/>
        <v>0</v>
      </c>
      <c r="W69" s="26">
        <f>S69*J69+V69*HLOOKUP($B$8,Prices!$A$28:$V$29,2,FALSE)/Prices!$J$29</f>
        <v>0</v>
      </c>
      <c r="X69" s="29" t="s">
        <v>116</v>
      </c>
      <c r="Y69" s="29" t="s">
        <v>115</v>
      </c>
      <c r="Z69" s="29" t="s">
        <v>116</v>
      </c>
      <c r="AA69" t="s">
        <v>115</v>
      </c>
      <c r="AB69" t="s">
        <v>75</v>
      </c>
      <c r="AC69">
        <f t="shared" si="41"/>
        <v>329817.83317353786</v>
      </c>
      <c r="AD69">
        <f t="shared" si="41"/>
        <v>314112.22207003605</v>
      </c>
      <c r="AE69">
        <f t="shared" si="41"/>
        <v>299154.49720955815</v>
      </c>
      <c r="AF69">
        <f t="shared" si="41"/>
        <v>284909.04496148397</v>
      </c>
      <c r="AG69">
        <f t="shared" si="41"/>
        <v>271341.94758236565</v>
      </c>
      <c r="AH69">
        <f t="shared" si="41"/>
        <v>258420.90245939587</v>
      </c>
      <c r="AI69">
        <f t="shared" si="41"/>
        <v>246115.14519942462</v>
      </c>
      <c r="AJ69">
        <f t="shared" si="41"/>
        <v>234395.37638040443</v>
      </c>
      <c r="AK69">
        <f t="shared" si="41"/>
        <v>223233.69179086134</v>
      </c>
      <c r="AL69">
        <f t="shared" si="41"/>
        <v>212603.5159912965</v>
      </c>
      <c r="AM69">
        <f t="shared" si="42"/>
        <v>0</v>
      </c>
      <c r="AN69">
        <f t="shared" si="42"/>
        <v>0</v>
      </c>
      <c r="AO69">
        <f t="shared" si="42"/>
        <v>0</v>
      </c>
      <c r="AP69">
        <f t="shared" si="42"/>
        <v>0</v>
      </c>
      <c r="AQ69">
        <f t="shared" si="42"/>
        <v>0</v>
      </c>
      <c r="AR69">
        <f t="shared" si="42"/>
        <v>0</v>
      </c>
      <c r="AS69">
        <f t="shared" si="42"/>
        <v>0</v>
      </c>
      <c r="AT69">
        <f t="shared" si="42"/>
        <v>0</v>
      </c>
      <c r="AU69">
        <f t="shared" si="42"/>
        <v>0</v>
      </c>
      <c r="AV69">
        <f t="shared" si="42"/>
        <v>0</v>
      </c>
      <c r="AW69">
        <f t="shared" si="43"/>
        <v>0</v>
      </c>
      <c r="AX69">
        <f t="shared" si="43"/>
        <v>0</v>
      </c>
      <c r="AY69">
        <f t="shared" si="43"/>
        <v>0</v>
      </c>
      <c r="AZ69">
        <f t="shared" si="43"/>
        <v>0</v>
      </c>
      <c r="BA69">
        <f t="shared" si="43"/>
        <v>0</v>
      </c>
      <c r="BB69">
        <f t="shared" si="43"/>
        <v>0</v>
      </c>
      <c r="BC69">
        <f t="shared" si="43"/>
        <v>0</v>
      </c>
      <c r="BD69">
        <f t="shared" si="43"/>
        <v>0</v>
      </c>
      <c r="BE69">
        <f t="shared" si="43"/>
        <v>0</v>
      </c>
      <c r="BF69">
        <f t="shared" si="43"/>
        <v>0</v>
      </c>
      <c r="BG69">
        <f t="shared" si="44"/>
        <v>0</v>
      </c>
      <c r="BH69">
        <f t="shared" si="44"/>
        <v>0</v>
      </c>
      <c r="BI69">
        <f t="shared" si="44"/>
        <v>0</v>
      </c>
      <c r="BJ69">
        <f t="shared" si="44"/>
        <v>0</v>
      </c>
      <c r="BK69">
        <f t="shared" si="44"/>
        <v>0</v>
      </c>
      <c r="BL69">
        <f t="shared" si="44"/>
        <v>0</v>
      </c>
      <c r="BM69">
        <f t="shared" si="44"/>
        <v>0</v>
      </c>
      <c r="BN69">
        <f t="shared" si="44"/>
        <v>0</v>
      </c>
      <c r="BO69">
        <f t="shared" si="44"/>
        <v>0</v>
      </c>
      <c r="BP69">
        <f t="shared" si="44"/>
        <v>0</v>
      </c>
      <c r="BQ69">
        <f t="shared" si="45"/>
        <v>0</v>
      </c>
      <c r="BR69">
        <f t="shared" si="45"/>
        <v>0</v>
      </c>
      <c r="BS69">
        <f t="shared" si="45"/>
        <v>0</v>
      </c>
      <c r="BT69">
        <f t="shared" si="45"/>
        <v>0</v>
      </c>
      <c r="BU69">
        <f t="shared" si="45"/>
        <v>0</v>
      </c>
      <c r="BV69">
        <f t="shared" si="45"/>
        <v>0</v>
      </c>
      <c r="BW69">
        <f t="shared" si="45"/>
        <v>0</v>
      </c>
      <c r="BX69">
        <f t="shared" si="45"/>
        <v>0</v>
      </c>
      <c r="BY69">
        <f t="shared" si="45"/>
        <v>0</v>
      </c>
      <c r="BZ69">
        <f t="shared" si="45"/>
        <v>0</v>
      </c>
      <c r="CA69">
        <f t="shared" si="45"/>
        <v>0</v>
      </c>
      <c r="CB69">
        <f t="shared" si="45"/>
        <v>0</v>
      </c>
      <c r="CC69">
        <f t="shared" si="45"/>
        <v>0</v>
      </c>
      <c r="CD69">
        <f t="shared" si="45"/>
        <v>0</v>
      </c>
      <c r="CE69">
        <f t="shared" si="45"/>
        <v>0</v>
      </c>
      <c r="CF69">
        <f t="shared" si="45"/>
        <v>0</v>
      </c>
      <c r="CG69">
        <f t="shared" ref="CG69:CT71" si="69">IF(CG$17&lt;=$H69,1000000*$D69/$H69,IF(CG$17&lt;=($H69+$F69),$E69,0))/(1+WACC)^CG$17</f>
        <v>0</v>
      </c>
      <c r="CH69">
        <f t="shared" si="69"/>
        <v>0</v>
      </c>
      <c r="CI69">
        <f t="shared" si="69"/>
        <v>0</v>
      </c>
      <c r="CJ69">
        <f t="shared" si="69"/>
        <v>0</v>
      </c>
      <c r="CK69">
        <f t="shared" si="69"/>
        <v>0</v>
      </c>
      <c r="CL69">
        <f t="shared" si="69"/>
        <v>0</v>
      </c>
      <c r="CM69">
        <f t="shared" si="69"/>
        <v>0</v>
      </c>
      <c r="CN69">
        <f t="shared" si="69"/>
        <v>0</v>
      </c>
      <c r="CO69">
        <f t="shared" si="69"/>
        <v>0</v>
      </c>
      <c r="CP69">
        <f t="shared" si="69"/>
        <v>0</v>
      </c>
      <c r="CQ69">
        <f t="shared" si="69"/>
        <v>0</v>
      </c>
      <c r="CR69">
        <f t="shared" si="69"/>
        <v>0</v>
      </c>
      <c r="CS69">
        <f t="shared" si="69"/>
        <v>0</v>
      </c>
      <c r="CT69">
        <f t="shared" si="69"/>
        <v>0</v>
      </c>
    </row>
    <row r="70" spans="1:98" x14ac:dyDescent="0.25">
      <c r="A70" t="s">
        <v>199</v>
      </c>
      <c r="B70" t="s">
        <v>203</v>
      </c>
      <c r="C70" s="9" t="s">
        <v>118</v>
      </c>
      <c r="D70" s="27">
        <v>0</v>
      </c>
      <c r="E70" s="26">
        <f>4300*0.6/EURO_exchange_rate*1000</f>
        <v>346308.72483221476</v>
      </c>
      <c r="F70" s="23">
        <v>10</v>
      </c>
      <c r="G70" s="23">
        <v>1</v>
      </c>
      <c r="H70" s="23">
        <v>0</v>
      </c>
      <c r="I70" s="23">
        <v>2021</v>
      </c>
      <c r="J70" s="20">
        <f>HLOOKUP($B$8,Prices!$A$28:$V$29,2,FALSE)/HLOOKUP(I70,Prices!$A$28:$V$29,2,FALSE)</f>
        <v>0.97486126026807207</v>
      </c>
      <c r="K70" s="14">
        <f t="shared" si="63"/>
        <v>0.14069007997578778</v>
      </c>
      <c r="L70" s="24">
        <v>1</v>
      </c>
      <c r="M70" s="5">
        <v>0.2</v>
      </c>
      <c r="N70" s="5">
        <f t="shared" si="11"/>
        <v>0.2</v>
      </c>
      <c r="O70" s="16">
        <f t="shared" si="64"/>
        <v>354483.10792835004</v>
      </c>
      <c r="P70" s="19">
        <f t="shared" si="65"/>
        <v>337602.9599317619</v>
      </c>
      <c r="Q70" s="6">
        <f t="shared" si="66"/>
        <v>1772415.53964175</v>
      </c>
      <c r="R70" s="34">
        <f t="shared" si="67"/>
        <v>75.887906726040441</v>
      </c>
      <c r="S70" s="13">
        <v>0</v>
      </c>
      <c r="T70" s="11">
        <v>0</v>
      </c>
      <c r="U70" s="22">
        <v>1</v>
      </c>
      <c r="V70" s="6">
        <f t="shared" si="68"/>
        <v>0</v>
      </c>
      <c r="W70" s="26">
        <f>S70*J70+V70*HLOOKUP($B$8,Prices!$A$28:$V$29,2,FALSE)/Prices!$J$29</f>
        <v>0</v>
      </c>
      <c r="X70" s="29" t="s">
        <v>116</v>
      </c>
      <c r="Y70" s="29" t="s">
        <v>115</v>
      </c>
      <c r="Z70" s="29" t="s">
        <v>116</v>
      </c>
      <c r="AA70" t="s">
        <v>115</v>
      </c>
      <c r="AB70" t="s">
        <v>75</v>
      </c>
      <c r="AC70">
        <f t="shared" si="41"/>
        <v>329817.83317353786</v>
      </c>
      <c r="AD70">
        <f t="shared" si="41"/>
        <v>314112.22207003605</v>
      </c>
      <c r="AE70">
        <f t="shared" si="41"/>
        <v>299154.49720955815</v>
      </c>
      <c r="AF70">
        <f t="shared" si="41"/>
        <v>284909.04496148397</v>
      </c>
      <c r="AG70">
        <f t="shared" si="41"/>
        <v>271341.94758236565</v>
      </c>
      <c r="AH70">
        <f t="shared" si="41"/>
        <v>258420.90245939587</v>
      </c>
      <c r="AI70">
        <f t="shared" si="41"/>
        <v>246115.14519942462</v>
      </c>
      <c r="AJ70">
        <f t="shared" si="41"/>
        <v>234395.37638040443</v>
      </c>
      <c r="AK70">
        <f t="shared" si="41"/>
        <v>223233.69179086134</v>
      </c>
      <c r="AL70">
        <f t="shared" si="41"/>
        <v>212603.5159912965</v>
      </c>
      <c r="AM70">
        <f t="shared" si="42"/>
        <v>0</v>
      </c>
      <c r="AN70">
        <f t="shared" si="42"/>
        <v>0</v>
      </c>
      <c r="AO70">
        <f t="shared" si="42"/>
        <v>0</v>
      </c>
      <c r="AP70">
        <f t="shared" si="42"/>
        <v>0</v>
      </c>
      <c r="AQ70">
        <f t="shared" si="42"/>
        <v>0</v>
      </c>
      <c r="AR70">
        <f t="shared" si="42"/>
        <v>0</v>
      </c>
      <c r="AS70">
        <f t="shared" si="42"/>
        <v>0</v>
      </c>
      <c r="AT70">
        <f t="shared" si="42"/>
        <v>0</v>
      </c>
      <c r="AU70">
        <f t="shared" si="42"/>
        <v>0</v>
      </c>
      <c r="AV70">
        <f t="shared" si="42"/>
        <v>0</v>
      </c>
      <c r="AW70">
        <f t="shared" si="43"/>
        <v>0</v>
      </c>
      <c r="AX70">
        <f t="shared" si="43"/>
        <v>0</v>
      </c>
      <c r="AY70">
        <f t="shared" si="43"/>
        <v>0</v>
      </c>
      <c r="AZ70">
        <f t="shared" si="43"/>
        <v>0</v>
      </c>
      <c r="BA70">
        <f t="shared" si="43"/>
        <v>0</v>
      </c>
      <c r="BB70">
        <f t="shared" si="43"/>
        <v>0</v>
      </c>
      <c r="BC70">
        <f t="shared" si="43"/>
        <v>0</v>
      </c>
      <c r="BD70">
        <f t="shared" si="43"/>
        <v>0</v>
      </c>
      <c r="BE70">
        <f t="shared" si="43"/>
        <v>0</v>
      </c>
      <c r="BF70">
        <f t="shared" si="43"/>
        <v>0</v>
      </c>
      <c r="BG70">
        <f t="shared" si="44"/>
        <v>0</v>
      </c>
      <c r="BH70">
        <f t="shared" si="44"/>
        <v>0</v>
      </c>
      <c r="BI70">
        <f t="shared" si="44"/>
        <v>0</v>
      </c>
      <c r="BJ70">
        <f t="shared" si="44"/>
        <v>0</v>
      </c>
      <c r="BK70">
        <f t="shared" si="44"/>
        <v>0</v>
      </c>
      <c r="BL70">
        <f t="shared" si="44"/>
        <v>0</v>
      </c>
      <c r="BM70">
        <f t="shared" si="44"/>
        <v>0</v>
      </c>
      <c r="BN70">
        <f t="shared" si="44"/>
        <v>0</v>
      </c>
      <c r="BO70">
        <f t="shared" si="44"/>
        <v>0</v>
      </c>
      <c r="BP70">
        <f t="shared" si="44"/>
        <v>0</v>
      </c>
      <c r="BQ70">
        <f t="shared" si="45"/>
        <v>0</v>
      </c>
      <c r="BR70">
        <f t="shared" si="45"/>
        <v>0</v>
      </c>
      <c r="BS70">
        <f t="shared" si="45"/>
        <v>0</v>
      </c>
      <c r="BT70">
        <f t="shared" si="45"/>
        <v>0</v>
      </c>
      <c r="BU70">
        <f t="shared" si="45"/>
        <v>0</v>
      </c>
      <c r="BV70">
        <f t="shared" si="45"/>
        <v>0</v>
      </c>
      <c r="BW70">
        <f t="shared" si="45"/>
        <v>0</v>
      </c>
      <c r="BX70">
        <f t="shared" si="45"/>
        <v>0</v>
      </c>
      <c r="BY70">
        <f t="shared" si="45"/>
        <v>0</v>
      </c>
      <c r="BZ70">
        <f t="shared" si="45"/>
        <v>0</v>
      </c>
      <c r="CA70">
        <f t="shared" si="45"/>
        <v>0</v>
      </c>
      <c r="CB70">
        <f t="shared" si="45"/>
        <v>0</v>
      </c>
      <c r="CC70">
        <f t="shared" si="45"/>
        <v>0</v>
      </c>
      <c r="CD70">
        <f t="shared" si="45"/>
        <v>0</v>
      </c>
      <c r="CE70">
        <f t="shared" si="45"/>
        <v>0</v>
      </c>
      <c r="CF70">
        <f t="shared" si="45"/>
        <v>0</v>
      </c>
      <c r="CG70">
        <f t="shared" si="69"/>
        <v>0</v>
      </c>
      <c r="CH70">
        <f t="shared" si="69"/>
        <v>0</v>
      </c>
      <c r="CI70">
        <f t="shared" si="69"/>
        <v>0</v>
      </c>
      <c r="CJ70">
        <f t="shared" si="69"/>
        <v>0</v>
      </c>
      <c r="CK70">
        <f t="shared" si="69"/>
        <v>0</v>
      </c>
      <c r="CL70">
        <f t="shared" si="69"/>
        <v>0</v>
      </c>
      <c r="CM70">
        <f t="shared" si="69"/>
        <v>0</v>
      </c>
      <c r="CN70">
        <f t="shared" si="69"/>
        <v>0</v>
      </c>
      <c r="CO70">
        <f t="shared" si="69"/>
        <v>0</v>
      </c>
      <c r="CP70">
        <f t="shared" si="69"/>
        <v>0</v>
      </c>
      <c r="CQ70">
        <f t="shared" si="69"/>
        <v>0</v>
      </c>
      <c r="CR70">
        <f t="shared" si="69"/>
        <v>0</v>
      </c>
      <c r="CS70">
        <f t="shared" si="69"/>
        <v>0</v>
      </c>
      <c r="CT70">
        <f t="shared" si="69"/>
        <v>0</v>
      </c>
    </row>
    <row r="71" spans="1:98" x14ac:dyDescent="0.25">
      <c r="A71" t="s">
        <v>200</v>
      </c>
      <c r="B71" t="s">
        <v>204</v>
      </c>
      <c r="C71" s="9" t="s">
        <v>118</v>
      </c>
      <c r="D71" s="27">
        <v>0</v>
      </c>
      <c r="E71" s="26">
        <f>120*0.6/EURO_exchange_rate*1000</f>
        <v>9664.4295302013434</v>
      </c>
      <c r="F71" s="23">
        <v>10</v>
      </c>
      <c r="G71" s="23">
        <v>1</v>
      </c>
      <c r="H71" s="23">
        <v>0</v>
      </c>
      <c r="I71" s="23">
        <v>2021</v>
      </c>
      <c r="J71" s="20">
        <f>HLOOKUP($B$8,Prices!$A$28:$V$29,2,FALSE)/HLOOKUP(I71,Prices!$A$28:$V$29,2,FALSE)</f>
        <v>0.97486126026807207</v>
      </c>
      <c r="K71" s="14">
        <f t="shared" si="63"/>
        <v>0.14069007997578778</v>
      </c>
      <c r="L71" s="24">
        <v>1</v>
      </c>
      <c r="M71" s="5">
        <v>0.2</v>
      </c>
      <c r="N71" s="5">
        <f t="shared" si="11"/>
        <v>0.2</v>
      </c>
      <c r="O71" s="16">
        <f t="shared" si="64"/>
        <v>9892.5518491632538</v>
      </c>
      <c r="P71" s="19">
        <f t="shared" si="65"/>
        <v>9421.4779515840528</v>
      </c>
      <c r="Q71" s="6">
        <f t="shared" si="66"/>
        <v>49462.759245816269</v>
      </c>
      <c r="R71" s="34">
        <f t="shared" si="67"/>
        <v>2.1178020481685702</v>
      </c>
      <c r="S71" s="13">
        <v>0</v>
      </c>
      <c r="T71" s="11">
        <v>0</v>
      </c>
      <c r="U71" s="22">
        <v>1</v>
      </c>
      <c r="V71" s="6">
        <f t="shared" si="68"/>
        <v>0</v>
      </c>
      <c r="W71" s="26">
        <f>S71*J71+V71*HLOOKUP($B$8,Prices!$A$28:$V$29,2,FALSE)/Prices!$J$29</f>
        <v>0</v>
      </c>
      <c r="X71" s="29" t="s">
        <v>116</v>
      </c>
      <c r="Y71" s="29" t="s">
        <v>115</v>
      </c>
      <c r="Z71" s="29" t="s">
        <v>116</v>
      </c>
      <c r="AA71" t="s">
        <v>115</v>
      </c>
      <c r="AB71" t="s">
        <v>75</v>
      </c>
      <c r="AC71">
        <f t="shared" si="41"/>
        <v>9204.2186001917544</v>
      </c>
      <c r="AD71">
        <f t="shared" si="41"/>
        <v>8765.9224763730999</v>
      </c>
      <c r="AE71">
        <f t="shared" si="41"/>
        <v>8348.4975965458088</v>
      </c>
      <c r="AF71">
        <f t="shared" si="41"/>
        <v>7950.9500919483908</v>
      </c>
      <c r="AG71">
        <f t="shared" si="41"/>
        <v>7572.3334209032282</v>
      </c>
      <c r="AH71">
        <f t="shared" si="41"/>
        <v>7211.7461151459329</v>
      </c>
      <c r="AI71">
        <f t="shared" si="41"/>
        <v>6868.3296334723154</v>
      </c>
      <c r="AJ71">
        <f t="shared" si="41"/>
        <v>6541.2663175926818</v>
      </c>
      <c r="AK71">
        <f t="shared" si="41"/>
        <v>6229.7774453263637</v>
      </c>
      <c r="AL71">
        <f t="shared" si="41"/>
        <v>5933.121376501299</v>
      </c>
      <c r="AM71">
        <f t="shared" si="42"/>
        <v>0</v>
      </c>
      <c r="AN71">
        <f t="shared" si="42"/>
        <v>0</v>
      </c>
      <c r="AO71">
        <f t="shared" si="42"/>
        <v>0</v>
      </c>
      <c r="AP71">
        <f t="shared" si="42"/>
        <v>0</v>
      </c>
      <c r="AQ71">
        <f t="shared" si="42"/>
        <v>0</v>
      </c>
      <c r="AR71">
        <f t="shared" si="42"/>
        <v>0</v>
      </c>
      <c r="AS71">
        <f t="shared" si="42"/>
        <v>0</v>
      </c>
      <c r="AT71">
        <f t="shared" si="42"/>
        <v>0</v>
      </c>
      <c r="AU71">
        <f t="shared" si="42"/>
        <v>0</v>
      </c>
      <c r="AV71">
        <f t="shared" si="42"/>
        <v>0</v>
      </c>
      <c r="AW71">
        <f t="shared" si="43"/>
        <v>0</v>
      </c>
      <c r="AX71">
        <f t="shared" si="43"/>
        <v>0</v>
      </c>
      <c r="AY71">
        <f t="shared" si="43"/>
        <v>0</v>
      </c>
      <c r="AZ71">
        <f t="shared" si="43"/>
        <v>0</v>
      </c>
      <c r="BA71">
        <f t="shared" si="43"/>
        <v>0</v>
      </c>
      <c r="BB71">
        <f t="shared" si="43"/>
        <v>0</v>
      </c>
      <c r="BC71">
        <f t="shared" si="43"/>
        <v>0</v>
      </c>
      <c r="BD71">
        <f t="shared" si="43"/>
        <v>0</v>
      </c>
      <c r="BE71">
        <f t="shared" si="43"/>
        <v>0</v>
      </c>
      <c r="BF71">
        <f t="shared" si="43"/>
        <v>0</v>
      </c>
      <c r="BG71">
        <f t="shared" si="44"/>
        <v>0</v>
      </c>
      <c r="BH71">
        <f t="shared" si="44"/>
        <v>0</v>
      </c>
      <c r="BI71">
        <f t="shared" si="44"/>
        <v>0</v>
      </c>
      <c r="BJ71">
        <f t="shared" si="44"/>
        <v>0</v>
      </c>
      <c r="BK71">
        <f t="shared" si="44"/>
        <v>0</v>
      </c>
      <c r="BL71">
        <f t="shared" si="44"/>
        <v>0</v>
      </c>
      <c r="BM71">
        <f t="shared" si="44"/>
        <v>0</v>
      </c>
      <c r="BN71">
        <f t="shared" si="44"/>
        <v>0</v>
      </c>
      <c r="BO71">
        <f t="shared" si="44"/>
        <v>0</v>
      </c>
      <c r="BP71">
        <f t="shared" si="44"/>
        <v>0</v>
      </c>
      <c r="BQ71">
        <f t="shared" si="45"/>
        <v>0</v>
      </c>
      <c r="BR71">
        <f t="shared" si="45"/>
        <v>0</v>
      </c>
      <c r="BS71">
        <f t="shared" si="45"/>
        <v>0</v>
      </c>
      <c r="BT71">
        <f t="shared" si="45"/>
        <v>0</v>
      </c>
      <c r="BU71">
        <f t="shared" si="45"/>
        <v>0</v>
      </c>
      <c r="BV71">
        <f t="shared" si="45"/>
        <v>0</v>
      </c>
      <c r="BW71">
        <f t="shared" si="45"/>
        <v>0</v>
      </c>
      <c r="BX71">
        <f t="shared" si="45"/>
        <v>0</v>
      </c>
      <c r="BY71">
        <f t="shared" si="45"/>
        <v>0</v>
      </c>
      <c r="BZ71">
        <f t="shared" si="45"/>
        <v>0</v>
      </c>
      <c r="CA71">
        <f t="shared" si="45"/>
        <v>0</v>
      </c>
      <c r="CB71">
        <f t="shared" si="45"/>
        <v>0</v>
      </c>
      <c r="CC71">
        <f t="shared" si="45"/>
        <v>0</v>
      </c>
      <c r="CD71">
        <f t="shared" si="45"/>
        <v>0</v>
      </c>
      <c r="CE71">
        <f t="shared" si="45"/>
        <v>0</v>
      </c>
      <c r="CF71">
        <f t="shared" si="45"/>
        <v>0</v>
      </c>
      <c r="CG71">
        <f t="shared" si="69"/>
        <v>0</v>
      </c>
      <c r="CH71">
        <f t="shared" si="69"/>
        <v>0</v>
      </c>
      <c r="CI71">
        <f t="shared" si="69"/>
        <v>0</v>
      </c>
      <c r="CJ71">
        <f t="shared" si="69"/>
        <v>0</v>
      </c>
      <c r="CK71">
        <f t="shared" si="69"/>
        <v>0</v>
      </c>
      <c r="CL71">
        <f t="shared" si="69"/>
        <v>0</v>
      </c>
      <c r="CM71">
        <f t="shared" si="69"/>
        <v>0</v>
      </c>
      <c r="CN71">
        <f t="shared" si="69"/>
        <v>0</v>
      </c>
      <c r="CO71">
        <f t="shared" si="69"/>
        <v>0</v>
      </c>
      <c r="CP71">
        <f t="shared" si="69"/>
        <v>0</v>
      </c>
      <c r="CQ71">
        <f t="shared" si="69"/>
        <v>0</v>
      </c>
      <c r="CR71">
        <f t="shared" si="69"/>
        <v>0</v>
      </c>
      <c r="CS71">
        <f t="shared" si="69"/>
        <v>0</v>
      </c>
      <c r="CT71">
        <f t="shared" si="69"/>
        <v>0</v>
      </c>
    </row>
    <row r="72" spans="1:98" x14ac:dyDescent="0.25">
      <c r="A72" t="s">
        <v>83</v>
      </c>
      <c r="B72" t="s">
        <v>108</v>
      </c>
      <c r="C72" s="9" t="s">
        <v>118</v>
      </c>
      <c r="D72" s="20">
        <f>6.92/1.07</f>
        <v>6.4672897196261676</v>
      </c>
      <c r="E72" s="27">
        <f>80000</f>
        <v>80000</v>
      </c>
      <c r="F72" s="27">
        <v>60</v>
      </c>
      <c r="G72" s="27">
        <v>10</v>
      </c>
      <c r="H72" s="12">
        <f t="shared" si="10"/>
        <v>10</v>
      </c>
      <c r="I72" s="23">
        <v>2018</v>
      </c>
      <c r="J72" s="20">
        <f>HLOOKUP($B$8,Prices!$A$28:$V$29,2,FALSE)/HLOOKUP(I72,Prices!$A$28:$V$29,2,FALSE)</f>
        <v>1.0431122918830535</v>
      </c>
      <c r="K72" s="14">
        <f t="shared" si="37"/>
        <v>5.4776735485736472E-2</v>
      </c>
      <c r="L72" s="24">
        <v>0.85</v>
      </c>
      <c r="M72" s="5">
        <v>1</v>
      </c>
      <c r="N72" s="5">
        <f t="shared" si="11"/>
        <v>0.85</v>
      </c>
      <c r="O72" s="16">
        <f t="shared" si="38"/>
        <v>531705.8446311357</v>
      </c>
      <c r="P72" s="19">
        <f t="shared" si="35"/>
        <v>439833.69566519564</v>
      </c>
      <c r="Q72" s="6">
        <f t="shared" si="56"/>
        <v>625536.28780133615</v>
      </c>
      <c r="R72" s="34">
        <f t="shared" si="36"/>
        <v>26.783019219080199</v>
      </c>
      <c r="S72" s="13">
        <f>15.12/1.07</f>
        <v>14.130841121495326</v>
      </c>
      <c r="T72" s="11">
        <f>UraniumPrice</f>
        <v>1.6919999999999999</v>
      </c>
      <c r="U72" s="22">
        <v>0.33</v>
      </c>
      <c r="V72" s="6">
        <f t="shared" si="13"/>
        <v>5.127272727272727</v>
      </c>
      <c r="W72" s="26">
        <f>S72*J72+V72*HLOOKUP($B$8,Prices!$A$28:$V$29,2,FALSE)/Prices!$J$29</f>
        <v>19.400134138228665</v>
      </c>
      <c r="X72" t="s">
        <v>116</v>
      </c>
      <c r="Y72" s="29" t="s">
        <v>116</v>
      </c>
      <c r="Z72" s="29" t="s">
        <v>115</v>
      </c>
      <c r="AA72" t="s">
        <v>115</v>
      </c>
      <c r="AB72" t="s">
        <v>75</v>
      </c>
      <c r="AC72">
        <f t="shared" si="41"/>
        <v>615932.35425011115</v>
      </c>
      <c r="AD72">
        <f t="shared" si="41"/>
        <v>586602.24214296299</v>
      </c>
      <c r="AE72">
        <f t="shared" si="41"/>
        <v>558668.8020409171</v>
      </c>
      <c r="AF72">
        <f t="shared" si="41"/>
        <v>532065.52575325442</v>
      </c>
      <c r="AG72">
        <f t="shared" si="41"/>
        <v>506729.07214595657</v>
      </c>
      <c r="AH72">
        <f t="shared" si="41"/>
        <v>482599.11632948252</v>
      </c>
      <c r="AI72">
        <f t="shared" si="41"/>
        <v>459618.20602807851</v>
      </c>
      <c r="AJ72">
        <f t="shared" si="41"/>
        <v>437731.62478864624</v>
      </c>
      <c r="AK72">
        <f t="shared" si="41"/>
        <v>416887.26170347258</v>
      </c>
      <c r="AL72">
        <f t="shared" si="41"/>
        <v>397035.4873366406</v>
      </c>
      <c r="AM72">
        <f t="shared" si="42"/>
        <v>46774.343126914995</v>
      </c>
      <c r="AN72">
        <f t="shared" si="42"/>
        <v>44546.993454204763</v>
      </c>
      <c r="AO72">
        <f t="shared" si="42"/>
        <v>42425.708051623573</v>
      </c>
      <c r="AP72">
        <f t="shared" si="42"/>
        <v>40405.436239641509</v>
      </c>
      <c r="AQ72">
        <f t="shared" si="42"/>
        <v>38481.367847277616</v>
      </c>
      <c r="AR72">
        <f t="shared" si="42"/>
        <v>36648.921759312019</v>
      </c>
      <c r="AS72">
        <f t="shared" si="42"/>
        <v>34903.735008868585</v>
      </c>
      <c r="AT72">
        <f t="shared" si="42"/>
        <v>33241.652389398652</v>
      </c>
      <c r="AU72">
        <f t="shared" si="42"/>
        <v>31658.71656133205</v>
      </c>
      <c r="AV72">
        <f t="shared" si="42"/>
        <v>30151.158629840047</v>
      </c>
      <c r="AW72">
        <f t="shared" si="43"/>
        <v>28715.389171276238</v>
      </c>
      <c r="AX72">
        <f t="shared" si="43"/>
        <v>27347.989686929752</v>
      </c>
      <c r="AY72">
        <f t="shared" si="43"/>
        <v>26045.704463742615</v>
      </c>
      <c r="AZ72">
        <f t="shared" si="43"/>
        <v>24805.432822612016</v>
      </c>
      <c r="BA72">
        <f t="shared" si="43"/>
        <v>23624.221735820967</v>
      </c>
      <c r="BB72">
        <f t="shared" si="43"/>
        <v>22499.258796019971</v>
      </c>
      <c r="BC72">
        <f t="shared" si="43"/>
        <v>21427.865520019015</v>
      </c>
      <c r="BD72">
        <f t="shared" si="43"/>
        <v>20407.490971446685</v>
      </c>
      <c r="BE72">
        <f t="shared" si="43"/>
        <v>19435.705687092079</v>
      </c>
      <c r="BF72">
        <f t="shared" si="43"/>
        <v>18510.195892468651</v>
      </c>
      <c r="BG72">
        <f t="shared" si="44"/>
        <v>17628.757992827279</v>
      </c>
      <c r="BH72">
        <f t="shared" si="44"/>
        <v>16789.293326502171</v>
      </c>
      <c r="BI72">
        <f t="shared" si="44"/>
        <v>15989.803168097307</v>
      </c>
      <c r="BJ72">
        <f t="shared" si="44"/>
        <v>15228.383969616483</v>
      </c>
      <c r="BK72">
        <f t="shared" si="44"/>
        <v>14503.222828206173</v>
      </c>
      <c r="BL72">
        <f t="shared" si="44"/>
        <v>13812.593169720167</v>
      </c>
      <c r="BM72">
        <f t="shared" si="44"/>
        <v>13154.850637828729</v>
      </c>
      <c r="BN72">
        <f t="shared" si="44"/>
        <v>12528.429178884506</v>
      </c>
      <c r="BO72">
        <f t="shared" si="44"/>
        <v>11931.837313223336</v>
      </c>
      <c r="BP72">
        <f t="shared" si="44"/>
        <v>11363.654584022226</v>
      </c>
      <c r="BQ72">
        <f t="shared" si="45"/>
        <v>10822.528175259262</v>
      </c>
      <c r="BR72">
        <f t="shared" si="45"/>
        <v>10307.169690723107</v>
      </c>
      <c r="BS72">
        <f t="shared" si="45"/>
        <v>9816.3520864029579</v>
      </c>
      <c r="BT72">
        <f t="shared" si="45"/>
        <v>9348.9067489551999</v>
      </c>
      <c r="BU72">
        <f t="shared" si="45"/>
        <v>8903.7207132906642</v>
      </c>
      <c r="BV72">
        <f t="shared" si="45"/>
        <v>8479.7340126577765</v>
      </c>
      <c r="BW72">
        <f t="shared" si="45"/>
        <v>8075.937154912167</v>
      </c>
      <c r="BX72">
        <f t="shared" si="45"/>
        <v>7691.3687189639686</v>
      </c>
      <c r="BY72">
        <f t="shared" si="45"/>
        <v>7325.1130656799696</v>
      </c>
      <c r="BZ72">
        <f t="shared" si="45"/>
        <v>6976.2981577904475</v>
      </c>
      <c r="CA72">
        <f t="shared" si="46"/>
        <v>6644.0934836099495</v>
      </c>
      <c r="CB72">
        <f t="shared" si="46"/>
        <v>6327.7080796285236</v>
      </c>
      <c r="CC72">
        <f t="shared" si="46"/>
        <v>6026.3886472652612</v>
      </c>
      <c r="CD72">
        <f t="shared" si="46"/>
        <v>5739.4177593002487</v>
      </c>
      <c r="CE72">
        <f t="shared" si="46"/>
        <v>5466.112151714522</v>
      </c>
      <c r="CF72">
        <f t="shared" si="46"/>
        <v>5205.8210968709736</v>
      </c>
      <c r="CG72">
        <f t="shared" si="46"/>
        <v>4957.9248541628313</v>
      </c>
      <c r="CH72">
        <f t="shared" si="46"/>
        <v>4721.8331944407919</v>
      </c>
      <c r="CI72">
        <f t="shared" si="46"/>
        <v>4496.9839947055161</v>
      </c>
      <c r="CJ72">
        <f t="shared" si="46"/>
        <v>4282.8418997195395</v>
      </c>
      <c r="CK72">
        <f t="shared" si="46"/>
        <v>4078.8970473519416</v>
      </c>
      <c r="CL72">
        <f t="shared" si="46"/>
        <v>3884.6638546208983</v>
      </c>
      <c r="CM72">
        <f t="shared" si="46"/>
        <v>3699.679861543711</v>
      </c>
      <c r="CN72">
        <f t="shared" si="46"/>
        <v>3523.5046300416298</v>
      </c>
      <c r="CO72">
        <f t="shared" si="46"/>
        <v>3355.7186952777424</v>
      </c>
      <c r="CP72">
        <f t="shared" si="46"/>
        <v>3195.9225669311832</v>
      </c>
      <c r="CQ72">
        <f t="shared" si="46"/>
        <v>3043.7357780296979</v>
      </c>
      <c r="CR72">
        <f t="shared" si="46"/>
        <v>2898.7959790759032</v>
      </c>
      <c r="CS72">
        <f t="shared" si="46"/>
        <v>2760.7580753103839</v>
      </c>
      <c r="CT72">
        <f t="shared" si="46"/>
        <v>2629.2934050575086</v>
      </c>
    </row>
    <row r="73" spans="1:98" x14ac:dyDescent="0.25">
      <c r="A73" t="s">
        <v>147</v>
      </c>
      <c r="B73" t="s">
        <v>148</v>
      </c>
      <c r="C73" s="9" t="s">
        <v>118</v>
      </c>
      <c r="D73" s="20">
        <v>0.95699999999999996</v>
      </c>
      <c r="E73" s="27">
        <v>2616</v>
      </c>
      <c r="F73" s="27">
        <v>40</v>
      </c>
      <c r="G73" s="27">
        <v>2.5</v>
      </c>
      <c r="H73" s="12">
        <f t="shared" si="10"/>
        <v>3</v>
      </c>
      <c r="I73" s="23">
        <v>2020</v>
      </c>
      <c r="J73" s="20">
        <f>HLOOKUP($B$8,Prices!$A$28:$V$29,2,FALSE)/HLOOKUP(I73,Prices!$A$28:$V$29,2,FALSE)</f>
        <v>1</v>
      </c>
      <c r="K73" s="14">
        <f t="shared" si="37"/>
        <v>5.9557327977727025E-2</v>
      </c>
      <c r="L73" s="24">
        <f>1-4/52-0.04</f>
        <v>0.88307692307692309</v>
      </c>
      <c r="M73" s="5">
        <v>0.8</v>
      </c>
      <c r="N73" s="5">
        <f t="shared" ref="N73" si="70">L73*M73</f>
        <v>0.70646153846153847</v>
      </c>
      <c r="O73" s="16">
        <f t="shared" si="38"/>
        <v>59747.810328711843</v>
      </c>
      <c r="P73" s="19">
        <f t="shared" ref="P73" si="71">J73*(D73*1000000*WACC/(1-(1+WACC)^-F73)+E73)</f>
        <v>58388.200235895492</v>
      </c>
      <c r="Q73" s="6">
        <f t="shared" ref="Q73" si="72">O73/L73/M73</f>
        <v>84573.337791077298</v>
      </c>
      <c r="R73" s="34">
        <f t="shared" ref="R73" si="73">Q73/VOLL</f>
        <v>3.6210998077214129</v>
      </c>
      <c r="S73" s="13">
        <v>2.6160000000000001</v>
      </c>
      <c r="T73" s="13">
        <f>HydrogenPrice</f>
        <v>76.339328859060387</v>
      </c>
      <c r="U73" s="22">
        <f>30/(100-60/1.05)</f>
        <v>0.7</v>
      </c>
      <c r="V73" s="6">
        <f t="shared" si="13"/>
        <v>109.05618408437199</v>
      </c>
      <c r="W73" s="26">
        <f>S73*J73+V73*HLOOKUP($B$8,Prices!$A$28:$V$29,2,FALSE)/Prices!$J$29</f>
        <v>101.73507888795585</v>
      </c>
      <c r="X73" s="29" t="s">
        <v>116</v>
      </c>
      <c r="Y73" s="29" t="s">
        <v>116</v>
      </c>
      <c r="Z73" s="29" t="s">
        <v>116</v>
      </c>
      <c r="AA73" s="29" t="s">
        <v>116</v>
      </c>
      <c r="AB73" t="s">
        <v>75</v>
      </c>
      <c r="AC73">
        <f t="shared" si="41"/>
        <v>303809.52380952379</v>
      </c>
      <c r="AD73">
        <f t="shared" si="41"/>
        <v>289342.40362811793</v>
      </c>
      <c r="AE73">
        <f t="shared" si="41"/>
        <v>275564.19393154082</v>
      </c>
      <c r="AF73">
        <f t="shared" si="41"/>
        <v>2152.189674055563</v>
      </c>
      <c r="AG73">
        <f t="shared" si="41"/>
        <v>2049.7044514814888</v>
      </c>
      <c r="AH73">
        <f t="shared" si="41"/>
        <v>1952.0994776014179</v>
      </c>
      <c r="AI73">
        <f t="shared" si="41"/>
        <v>1859.1423596203977</v>
      </c>
      <c r="AJ73">
        <f t="shared" si="41"/>
        <v>1770.6117710670458</v>
      </c>
      <c r="AK73">
        <f t="shared" si="41"/>
        <v>1686.2969248257577</v>
      </c>
      <c r="AL73">
        <f t="shared" si="41"/>
        <v>1605.9970712626264</v>
      </c>
      <c r="AM73">
        <f t="shared" si="42"/>
        <v>1529.5210202501203</v>
      </c>
      <c r="AN73">
        <f t="shared" si="42"/>
        <v>1456.6866859524957</v>
      </c>
      <c r="AO73">
        <f t="shared" si="42"/>
        <v>1387.3206532880909</v>
      </c>
      <c r="AP73">
        <f t="shared" si="42"/>
        <v>1321.2577650362773</v>
      </c>
      <c r="AQ73">
        <f t="shared" si="42"/>
        <v>1258.340728605978</v>
      </c>
      <c r="AR73">
        <f t="shared" si="42"/>
        <v>1198.419741529503</v>
      </c>
      <c r="AS73">
        <f t="shared" si="42"/>
        <v>1141.3521347900028</v>
      </c>
      <c r="AT73">
        <f t="shared" si="42"/>
        <v>1087.002033133336</v>
      </c>
      <c r="AU73">
        <f t="shared" si="42"/>
        <v>1035.2400315555581</v>
      </c>
      <c r="AV73">
        <f t="shared" si="42"/>
        <v>985.94288719576957</v>
      </c>
      <c r="AW73">
        <f t="shared" si="43"/>
        <v>938.99322590073291</v>
      </c>
      <c r="AX73">
        <f t="shared" si="43"/>
        <v>894.27926276260291</v>
      </c>
      <c r="AY73">
        <f t="shared" si="43"/>
        <v>851.69453596438348</v>
      </c>
      <c r="AZ73">
        <f t="shared" si="43"/>
        <v>811.13765329941293</v>
      </c>
      <c r="BA73">
        <f t="shared" si="43"/>
        <v>772.51205076134568</v>
      </c>
      <c r="BB73">
        <f t="shared" si="43"/>
        <v>735.72576262985297</v>
      </c>
      <c r="BC73">
        <f t="shared" si="43"/>
        <v>700.69120250462186</v>
      </c>
      <c r="BD73">
        <f t="shared" si="43"/>
        <v>667.32495476630663</v>
      </c>
      <c r="BE73">
        <f t="shared" si="43"/>
        <v>635.54757596791092</v>
      </c>
      <c r="BF73">
        <f t="shared" si="43"/>
        <v>605.28340568372494</v>
      </c>
      <c r="BG73">
        <f t="shared" si="44"/>
        <v>576.46038636545211</v>
      </c>
      <c r="BH73">
        <f t="shared" si="44"/>
        <v>549.00989177662109</v>
      </c>
      <c r="BI73">
        <f t="shared" si="44"/>
        <v>522.86656359678193</v>
      </c>
      <c r="BJ73">
        <f t="shared" si="44"/>
        <v>497.96815580645904</v>
      </c>
      <c r="BK73">
        <f t="shared" si="44"/>
        <v>474.25538648234186</v>
      </c>
      <c r="BL73">
        <f t="shared" si="44"/>
        <v>451.67179664984945</v>
      </c>
      <c r="BM73">
        <f t="shared" si="44"/>
        <v>430.1636158569994</v>
      </c>
      <c r="BN73">
        <f t="shared" si="44"/>
        <v>409.67963414952334</v>
      </c>
      <c r="BO73">
        <f t="shared" si="44"/>
        <v>390.17108014240307</v>
      </c>
      <c r="BP73">
        <f t="shared" si="44"/>
        <v>371.59150489752682</v>
      </c>
      <c r="BQ73">
        <f t="shared" si="45"/>
        <v>353.89667133097788</v>
      </c>
      <c r="BR73">
        <f t="shared" si="45"/>
        <v>337.04444888664563</v>
      </c>
      <c r="BS73">
        <f t="shared" si="45"/>
        <v>320.99471322537676</v>
      </c>
      <c r="BT73">
        <f t="shared" si="45"/>
        <v>0</v>
      </c>
      <c r="BU73">
        <f t="shared" si="45"/>
        <v>0</v>
      </c>
      <c r="BV73">
        <f t="shared" si="45"/>
        <v>0</v>
      </c>
      <c r="BW73">
        <f t="shared" si="45"/>
        <v>0</v>
      </c>
      <c r="BX73">
        <f t="shared" si="45"/>
        <v>0</v>
      </c>
      <c r="BY73">
        <f t="shared" si="45"/>
        <v>0</v>
      </c>
      <c r="BZ73">
        <f t="shared" si="45"/>
        <v>0</v>
      </c>
      <c r="CA73">
        <f t="shared" si="46"/>
        <v>0</v>
      </c>
      <c r="CB73">
        <f t="shared" si="46"/>
        <v>0</v>
      </c>
      <c r="CC73">
        <f t="shared" si="46"/>
        <v>0</v>
      </c>
      <c r="CD73">
        <f t="shared" si="46"/>
        <v>0</v>
      </c>
      <c r="CE73">
        <f t="shared" si="46"/>
        <v>0</v>
      </c>
      <c r="CF73">
        <f t="shared" si="46"/>
        <v>0</v>
      </c>
      <c r="CG73">
        <f t="shared" si="46"/>
        <v>0</v>
      </c>
      <c r="CH73">
        <f t="shared" si="46"/>
        <v>0</v>
      </c>
      <c r="CI73">
        <f t="shared" si="46"/>
        <v>0</v>
      </c>
      <c r="CJ73">
        <f t="shared" si="46"/>
        <v>0</v>
      </c>
      <c r="CK73">
        <f t="shared" si="46"/>
        <v>0</v>
      </c>
      <c r="CL73">
        <f t="shared" si="46"/>
        <v>0</v>
      </c>
      <c r="CM73">
        <f t="shared" si="46"/>
        <v>0</v>
      </c>
      <c r="CN73">
        <f t="shared" si="46"/>
        <v>0</v>
      </c>
      <c r="CO73">
        <f t="shared" si="46"/>
        <v>0</v>
      </c>
      <c r="CP73">
        <f t="shared" si="46"/>
        <v>0</v>
      </c>
      <c r="CQ73">
        <f t="shared" si="46"/>
        <v>0</v>
      </c>
      <c r="CR73">
        <f t="shared" si="46"/>
        <v>0</v>
      </c>
      <c r="CS73">
        <f t="shared" si="46"/>
        <v>0</v>
      </c>
      <c r="CT73">
        <f t="shared" si="46"/>
        <v>0</v>
      </c>
    </row>
    <row r="74" spans="1:98" x14ac:dyDescent="0.25">
      <c r="A74" t="s">
        <v>146</v>
      </c>
      <c r="B74" t="s">
        <v>84</v>
      </c>
      <c r="C74" s="9" t="s">
        <v>118</v>
      </c>
      <c r="D74" s="27">
        <v>0.21</v>
      </c>
      <c r="E74" s="27">
        <v>570</v>
      </c>
      <c r="F74" s="27">
        <v>25</v>
      </c>
      <c r="G74" s="27">
        <v>1</v>
      </c>
      <c r="H74" s="12">
        <f t="shared" si="10"/>
        <v>1</v>
      </c>
      <c r="I74" s="23">
        <v>2020</v>
      </c>
      <c r="J74" s="20">
        <f>HLOOKUP($B$8,Prices!$A$28:$V$29,2,FALSE)/HLOOKUP(I74,Prices!$A$28:$V$29,2,FALSE)</f>
        <v>1</v>
      </c>
      <c r="K74" s="14">
        <f t="shared" si="37"/>
        <v>7.2470900752687001E-2</v>
      </c>
      <c r="L74" s="24">
        <f>1-0.1/52-0.0035</f>
        <v>0.99457692307692314</v>
      </c>
      <c r="M74" s="24">
        <f>1/15</f>
        <v>6.6666666666666666E-2</v>
      </c>
      <c r="N74" s="5">
        <f t="shared" si="11"/>
        <v>6.6305128205128211E-2</v>
      </c>
      <c r="O74" s="16">
        <f t="shared" si="38"/>
        <v>15470.016032838219</v>
      </c>
      <c r="P74" s="19">
        <f t="shared" si="35"/>
        <v>15470.016032838219</v>
      </c>
      <c r="Q74" s="6">
        <f t="shared" si="56"/>
        <v>233315.52855125509</v>
      </c>
      <c r="R74" s="34">
        <f t="shared" si="36"/>
        <v>9.9896591247520146</v>
      </c>
      <c r="S74" s="13">
        <v>1.91</v>
      </c>
      <c r="T74" s="11">
        <v>0</v>
      </c>
      <c r="U74" s="22">
        <v>0.92</v>
      </c>
      <c r="V74" s="6">
        <f t="shared" si="13"/>
        <v>0</v>
      </c>
      <c r="W74" s="26">
        <f>S74*J74+V74*HLOOKUP($B$8,Prices!$A$28:$V$29,2,FALSE)/Prices!$J$29</f>
        <v>1.91</v>
      </c>
      <c r="X74" s="29" t="s">
        <v>116</v>
      </c>
      <c r="Y74" s="29" t="s">
        <v>116</v>
      </c>
      <c r="Z74" s="29" t="s">
        <v>116</v>
      </c>
      <c r="AA74" s="29" t="s">
        <v>116</v>
      </c>
      <c r="AB74" t="s">
        <v>75</v>
      </c>
      <c r="AC74">
        <f t="shared" si="41"/>
        <v>200000</v>
      </c>
      <c r="AD74">
        <f t="shared" si="41"/>
        <v>517.00680272108843</v>
      </c>
      <c r="AE74">
        <f t="shared" si="41"/>
        <v>492.38743116294131</v>
      </c>
      <c r="AF74">
        <f t="shared" si="41"/>
        <v>468.94041063137274</v>
      </c>
      <c r="AG74">
        <f t="shared" si="41"/>
        <v>446.6099148870216</v>
      </c>
      <c r="AH74">
        <f t="shared" si="41"/>
        <v>425.34277608287778</v>
      </c>
      <c r="AI74">
        <f t="shared" si="41"/>
        <v>405.08835817416923</v>
      </c>
      <c r="AJ74">
        <f t="shared" si="41"/>
        <v>385.79843635635171</v>
      </c>
      <c r="AK74">
        <f t="shared" si="41"/>
        <v>367.42708224414446</v>
      </c>
      <c r="AL74">
        <f t="shared" si="41"/>
        <v>349.93055451823278</v>
      </c>
      <c r="AM74">
        <f t="shared" si="42"/>
        <v>333.26719477926935</v>
      </c>
      <c r="AN74">
        <f t="shared" si="42"/>
        <v>317.39732836120891</v>
      </c>
      <c r="AO74">
        <f t="shared" si="42"/>
        <v>302.28316986781795</v>
      </c>
      <c r="AP74">
        <f t="shared" si="42"/>
        <v>287.88873320744574</v>
      </c>
      <c r="AQ74">
        <f t="shared" si="42"/>
        <v>274.17974591185299</v>
      </c>
      <c r="AR74">
        <f t="shared" si="42"/>
        <v>261.12356753509812</v>
      </c>
      <c r="AS74">
        <f t="shared" si="42"/>
        <v>248.68911193818866</v>
      </c>
      <c r="AT74">
        <f t="shared" si="42"/>
        <v>236.84677327446539</v>
      </c>
      <c r="AU74">
        <f t="shared" si="42"/>
        <v>225.56835549949085</v>
      </c>
      <c r="AV74">
        <f t="shared" si="42"/>
        <v>214.82700523761034</v>
      </c>
      <c r="AW74">
        <f t="shared" si="43"/>
        <v>204.59714784534319</v>
      </c>
      <c r="AX74">
        <f t="shared" si="43"/>
        <v>194.85442651937447</v>
      </c>
      <c r="AY74">
        <f t="shared" si="43"/>
        <v>185.57564430416613</v>
      </c>
      <c r="AZ74">
        <f t="shared" si="43"/>
        <v>176.73870886111061</v>
      </c>
      <c r="BA74">
        <f t="shared" si="43"/>
        <v>168.32257986772439</v>
      </c>
      <c r="BB74">
        <f t="shared" si="43"/>
        <v>160.30721892164229</v>
      </c>
      <c r="BC74">
        <f t="shared" si="43"/>
        <v>0</v>
      </c>
      <c r="BD74">
        <f t="shared" si="43"/>
        <v>0</v>
      </c>
      <c r="BE74">
        <f t="shared" si="43"/>
        <v>0</v>
      </c>
      <c r="BF74">
        <f t="shared" si="43"/>
        <v>0</v>
      </c>
      <c r="BG74">
        <f t="shared" si="44"/>
        <v>0</v>
      </c>
      <c r="BH74">
        <f t="shared" si="44"/>
        <v>0</v>
      </c>
      <c r="BI74">
        <f t="shared" si="44"/>
        <v>0</v>
      </c>
      <c r="BJ74">
        <f t="shared" si="44"/>
        <v>0</v>
      </c>
      <c r="BK74">
        <f t="shared" si="44"/>
        <v>0</v>
      </c>
      <c r="BL74">
        <f t="shared" si="44"/>
        <v>0</v>
      </c>
      <c r="BM74">
        <f t="shared" si="44"/>
        <v>0</v>
      </c>
      <c r="BN74">
        <f t="shared" si="44"/>
        <v>0</v>
      </c>
      <c r="BO74">
        <f t="shared" si="44"/>
        <v>0</v>
      </c>
      <c r="BP74">
        <f t="shared" si="44"/>
        <v>0</v>
      </c>
      <c r="BQ74">
        <f t="shared" si="45"/>
        <v>0</v>
      </c>
      <c r="BR74">
        <f t="shared" si="45"/>
        <v>0</v>
      </c>
      <c r="BS74">
        <f t="shared" si="45"/>
        <v>0</v>
      </c>
      <c r="BT74">
        <f t="shared" si="45"/>
        <v>0</v>
      </c>
      <c r="BU74">
        <f t="shared" si="45"/>
        <v>0</v>
      </c>
      <c r="BV74">
        <f t="shared" si="45"/>
        <v>0</v>
      </c>
      <c r="BW74">
        <f t="shared" si="45"/>
        <v>0</v>
      </c>
      <c r="BX74">
        <f t="shared" si="45"/>
        <v>0</v>
      </c>
      <c r="BY74">
        <f t="shared" si="45"/>
        <v>0</v>
      </c>
      <c r="BZ74">
        <f t="shared" si="45"/>
        <v>0</v>
      </c>
      <c r="CA74">
        <f t="shared" si="46"/>
        <v>0</v>
      </c>
      <c r="CB74">
        <f t="shared" si="46"/>
        <v>0</v>
      </c>
      <c r="CC74">
        <f t="shared" si="46"/>
        <v>0</v>
      </c>
      <c r="CD74">
        <f t="shared" si="46"/>
        <v>0</v>
      </c>
      <c r="CE74">
        <f t="shared" si="46"/>
        <v>0</v>
      </c>
      <c r="CF74">
        <f t="shared" si="46"/>
        <v>0</v>
      </c>
      <c r="CG74">
        <f t="shared" si="46"/>
        <v>0</v>
      </c>
      <c r="CH74">
        <f t="shared" si="46"/>
        <v>0</v>
      </c>
      <c r="CI74">
        <f t="shared" si="46"/>
        <v>0</v>
      </c>
      <c r="CJ74">
        <f t="shared" si="46"/>
        <v>0</v>
      </c>
      <c r="CK74">
        <f t="shared" si="46"/>
        <v>0</v>
      </c>
      <c r="CL74">
        <f t="shared" si="46"/>
        <v>0</v>
      </c>
      <c r="CM74">
        <f t="shared" si="46"/>
        <v>0</v>
      </c>
      <c r="CN74">
        <f t="shared" si="46"/>
        <v>0</v>
      </c>
      <c r="CO74">
        <f t="shared" si="46"/>
        <v>0</v>
      </c>
      <c r="CP74">
        <f t="shared" si="46"/>
        <v>0</v>
      </c>
      <c r="CQ74">
        <f t="shared" si="46"/>
        <v>0</v>
      </c>
      <c r="CR74">
        <f t="shared" si="46"/>
        <v>0</v>
      </c>
      <c r="CS74">
        <f t="shared" si="46"/>
        <v>0</v>
      </c>
      <c r="CT74">
        <f t="shared" si="46"/>
        <v>0</v>
      </c>
    </row>
    <row r="78" spans="1:98" x14ac:dyDescent="0.25">
      <c r="A78" t="s">
        <v>232</v>
      </c>
    </row>
    <row r="80" spans="1:98" x14ac:dyDescent="0.25">
      <c r="A80" t="s">
        <v>226</v>
      </c>
      <c r="B80" t="s">
        <v>77</v>
      </c>
      <c r="C80" t="s">
        <v>110</v>
      </c>
      <c r="D80" t="s">
        <v>237</v>
      </c>
    </row>
    <row r="81" spans="1:4" x14ac:dyDescent="0.25">
      <c r="A81" t="str">
        <f>B65</f>
        <v>GE LTE gas</v>
      </c>
      <c r="B81" s="10">
        <f>Q65</f>
        <v>12030.101598217034</v>
      </c>
      <c r="C81" s="31">
        <f>R65</f>
        <v>0.51508193624549947</v>
      </c>
      <c r="D81">
        <f>F65</f>
        <v>10</v>
      </c>
    </row>
    <row r="82" spans="1:4" x14ac:dyDescent="0.25">
      <c r="A82" t="str">
        <f>B64</f>
        <v>OCGT LTE</v>
      </c>
      <c r="B82" s="10">
        <f>Q64</f>
        <v>22184.675579510189</v>
      </c>
      <c r="C82" s="31">
        <f>R64</f>
        <v>0.94986110958247649</v>
      </c>
      <c r="D82">
        <f>F64</f>
        <v>10</v>
      </c>
    </row>
    <row r="83" spans="1:4" x14ac:dyDescent="0.25">
      <c r="A83" t="str">
        <f>B59</f>
        <v>Diesel engine</v>
      </c>
      <c r="B83" s="10">
        <f>Q59</f>
        <v>34990.177365846401</v>
      </c>
      <c r="C83" s="31">
        <f>R59</f>
        <v>1.4981426515836533</v>
      </c>
      <c r="D83">
        <f>F59</f>
        <v>25</v>
      </c>
    </row>
    <row r="84" spans="1:4" x14ac:dyDescent="0.25">
      <c r="A84" t="str">
        <f>B62</f>
        <v>OCGT oil</v>
      </c>
      <c r="B84" s="10">
        <f>Q62</f>
        <v>35629.600082397832</v>
      </c>
      <c r="C84" s="31">
        <f>R62</f>
        <v>1.5255202334130107</v>
      </c>
      <c r="D84">
        <f>F62</f>
        <v>25</v>
      </c>
    </row>
    <row r="85" spans="1:4" x14ac:dyDescent="0.25">
      <c r="A85" t="str">
        <f>B60</f>
        <v>Engine, peak medium</v>
      </c>
      <c r="B85" s="10">
        <f t="shared" ref="B85:C86" si="74">Q60</f>
        <v>42572.514864528071</v>
      </c>
      <c r="C85" s="31">
        <f t="shared" si="74"/>
        <v>1.8227887111536445</v>
      </c>
      <c r="D85">
        <f>F60</f>
        <v>25</v>
      </c>
    </row>
    <row r="86" spans="1:4" x14ac:dyDescent="0.25">
      <c r="A86" t="str">
        <f>B61</f>
        <v>OCGT gas</v>
      </c>
      <c r="B86" s="10">
        <f t="shared" si="74"/>
        <v>42093.635514759044</v>
      </c>
      <c r="C86" s="31">
        <f t="shared" si="74"/>
        <v>1.802284968879051</v>
      </c>
      <c r="D86">
        <f>F61</f>
        <v>25</v>
      </c>
    </row>
    <row r="87" spans="1:4" x14ac:dyDescent="0.25">
      <c r="A87" t="str">
        <f>B63</f>
        <v>CC LTE gas</v>
      </c>
      <c r="B87" s="10">
        <f>Q63</f>
        <v>43461.693847995957</v>
      </c>
      <c r="C87" s="31">
        <f>R63</f>
        <v>1.8608598802733902</v>
      </c>
      <c r="D87">
        <f>F63</f>
        <v>10</v>
      </c>
    </row>
    <row r="88" spans="1:4" x14ac:dyDescent="0.25">
      <c r="A88" t="str">
        <f>B20</f>
        <v>Coal to pellets exist boiler</v>
      </c>
      <c r="B88" s="10">
        <f>Q20</f>
        <v>58631.523940760009</v>
      </c>
      <c r="C88" s="31">
        <f>R20</f>
        <v>2.5103727204520809</v>
      </c>
      <c r="D88">
        <f>F20</f>
        <v>15</v>
      </c>
    </row>
    <row r="89" spans="1:4" x14ac:dyDescent="0.25">
      <c r="A89" t="str">
        <f>B23</f>
        <v>OCGT CHP large</v>
      </c>
      <c r="B89" s="10">
        <f>Q23</f>
        <v>60112.288540874135</v>
      </c>
      <c r="C89" s="31">
        <f>R23</f>
        <v>2.5737732737328294</v>
      </c>
      <c r="D89">
        <f>F23</f>
        <v>25</v>
      </c>
    </row>
    <row r="90" spans="1:4" x14ac:dyDescent="0.25">
      <c r="A90" t="str">
        <f>B24</f>
        <v>OCGT CHP small</v>
      </c>
      <c r="B90" s="10">
        <f>Q24</f>
        <v>69298.064959058189</v>
      </c>
      <c r="C90" s="31">
        <f>R24</f>
        <v>2.9670723215228936</v>
      </c>
      <c r="D90">
        <f>F24</f>
        <v>25</v>
      </c>
    </row>
    <row r="91" spans="1:4" x14ac:dyDescent="0.25">
      <c r="A91" t="str">
        <f>B28</f>
        <v>Gas engine CHP NG</v>
      </c>
      <c r="B91" s="10">
        <f>Q28</f>
        <v>75724.583368139036</v>
      </c>
      <c r="C91" s="31">
        <f>R28</f>
        <v>3.2422307246703208</v>
      </c>
      <c r="D91">
        <f>F28</f>
        <v>25</v>
      </c>
    </row>
    <row r="92" spans="1:4" x14ac:dyDescent="0.25">
      <c r="A92" t="str">
        <f>B29</f>
        <v>Gas engine CHP biogas</v>
      </c>
      <c r="B92" s="10">
        <f>Q29</f>
        <v>81821.569254812261</v>
      </c>
      <c r="C92" s="31">
        <f>R29</f>
        <v>3.503279833036502</v>
      </c>
      <c r="D92">
        <f>F29</f>
        <v>25</v>
      </c>
    </row>
    <row r="93" spans="1:4" x14ac:dyDescent="0.25">
      <c r="A93" t="str">
        <f>B73</f>
        <v>CAES</v>
      </c>
      <c r="B93" s="10">
        <f>Q73</f>
        <v>84573.337791077298</v>
      </c>
      <c r="C93" s="31">
        <f>R73</f>
        <v>3.6210998077214129</v>
      </c>
      <c r="D93">
        <f>F73</f>
        <v>40</v>
      </c>
    </row>
    <row r="94" spans="1:4" x14ac:dyDescent="0.25">
      <c r="A94" t="str">
        <f>B26</f>
        <v>CCGT CHP large</v>
      </c>
      <c r="B94" s="10">
        <f>Q26</f>
        <v>99940.801452560816</v>
      </c>
      <c r="C94" s="31">
        <f>R26</f>
        <v>4.2790745449515981</v>
      </c>
      <c r="D94">
        <f>F26</f>
        <v>25</v>
      </c>
    </row>
    <row r="95" spans="1:4" x14ac:dyDescent="0.25">
      <c r="A95" t="str">
        <f>B25</f>
        <v>OCGT CHP micro</v>
      </c>
      <c r="B95" s="10">
        <f>Q25</f>
        <v>104263.50289657393</v>
      </c>
      <c r="C95" s="31">
        <f>R25</f>
        <v>4.4641557274682517</v>
      </c>
      <c r="D95">
        <f>F25</f>
        <v>15</v>
      </c>
    </row>
    <row r="96" spans="1:4" x14ac:dyDescent="0.25">
      <c r="A96" t="str">
        <f>B27</f>
        <v>CCGT CHP medium</v>
      </c>
      <c r="B96" s="10">
        <f>Q27</f>
        <v>127108.23459564967</v>
      </c>
      <c r="C96" s="31">
        <f>R27</f>
        <v>5.4422778605608624</v>
      </c>
      <c r="D96">
        <f>F27</f>
        <v>25</v>
      </c>
    </row>
    <row r="97" spans="1:4" x14ac:dyDescent="0.25">
      <c r="A97" t="str">
        <f>B22</f>
        <v>Coal to chips exist boiler</v>
      </c>
      <c r="B97" s="10">
        <f>Q22</f>
        <v>193617.83642852958</v>
      </c>
      <c r="C97" s="31">
        <f>R22</f>
        <v>8.2899590884629042</v>
      </c>
      <c r="D97">
        <f>F22</f>
        <v>15</v>
      </c>
    </row>
    <row r="106" spans="1:4" x14ac:dyDescent="0.25">
      <c r="B106" s="10"/>
      <c r="C106" s="31"/>
    </row>
    <row r="125" spans="2:3" x14ac:dyDescent="0.25">
      <c r="B125" s="10"/>
      <c r="C125" s="31"/>
    </row>
    <row r="126" spans="2:3" x14ac:dyDescent="0.25">
      <c r="B126" s="10"/>
      <c r="C126" s="31"/>
    </row>
    <row r="127" spans="2:3" x14ac:dyDescent="0.25">
      <c r="B127" s="10"/>
      <c r="C127" s="31"/>
    </row>
    <row r="128" spans="2:3" x14ac:dyDescent="0.25">
      <c r="B128" s="10"/>
      <c r="C128" s="31"/>
    </row>
    <row r="129" spans="2:3" x14ac:dyDescent="0.25">
      <c r="B129" s="10"/>
      <c r="C129" s="31"/>
    </row>
    <row r="130" spans="2:3" x14ac:dyDescent="0.25">
      <c r="B130" s="10"/>
      <c r="C130" s="31"/>
    </row>
    <row r="131" spans="2:3" x14ac:dyDescent="0.25">
      <c r="B131" s="10"/>
      <c r="C131" s="31"/>
    </row>
    <row r="132" spans="2:3" x14ac:dyDescent="0.25">
      <c r="B132" s="10"/>
      <c r="C132" s="31"/>
    </row>
    <row r="133" spans="2:3" x14ac:dyDescent="0.25">
      <c r="B133" s="10"/>
      <c r="C133" s="31"/>
    </row>
    <row r="134" spans="2:3" x14ac:dyDescent="0.25">
      <c r="B134" s="10"/>
      <c r="C134" s="31"/>
    </row>
    <row r="135" spans="2:3" x14ac:dyDescent="0.25">
      <c r="B135" s="10"/>
      <c r="C135" s="31"/>
    </row>
    <row r="136" spans="2:3" x14ac:dyDescent="0.25">
      <c r="B136" s="10"/>
      <c r="C136" s="31"/>
    </row>
    <row r="137" spans="2:3" x14ac:dyDescent="0.25">
      <c r="B137" s="10"/>
      <c r="C137" s="31"/>
    </row>
    <row r="138" spans="2:3" x14ac:dyDescent="0.25">
      <c r="B138" s="10"/>
      <c r="C138" s="31"/>
    </row>
    <row r="139" spans="2:3" x14ac:dyDescent="0.25">
      <c r="B139" s="10"/>
      <c r="C139" s="31"/>
    </row>
    <row r="140" spans="2:3" x14ac:dyDescent="0.25">
      <c r="B140" s="10"/>
      <c r="C140" s="31"/>
    </row>
    <row r="141" spans="2:3" x14ac:dyDescent="0.25">
      <c r="B141" s="10"/>
      <c r="C141" s="31"/>
    </row>
    <row r="142" spans="2:3" x14ac:dyDescent="0.25">
      <c r="B142" s="10"/>
      <c r="C142" s="31"/>
    </row>
    <row r="143" spans="2:3" x14ac:dyDescent="0.25">
      <c r="B143" s="10"/>
      <c r="C143" s="31"/>
    </row>
    <row r="144" spans="2:3" x14ac:dyDescent="0.25">
      <c r="B144" s="10"/>
      <c r="C144" s="31"/>
    </row>
    <row r="145" spans="2:3" x14ac:dyDescent="0.25">
      <c r="B145" s="10"/>
      <c r="C145" s="31"/>
    </row>
    <row r="146" spans="2:3" x14ac:dyDescent="0.25">
      <c r="B146" s="10"/>
      <c r="C146" s="31"/>
    </row>
    <row r="147" spans="2:3" x14ac:dyDescent="0.25">
      <c r="B147" s="10"/>
      <c r="C147" s="31"/>
    </row>
    <row r="148" spans="2:3" x14ac:dyDescent="0.25">
      <c r="B148" s="10"/>
      <c r="C148" s="31"/>
    </row>
    <row r="149" spans="2:3" x14ac:dyDescent="0.25">
      <c r="B149" s="10"/>
      <c r="C149" s="31"/>
    </row>
    <row r="150" spans="2:3" x14ac:dyDescent="0.25">
      <c r="B150" s="10"/>
      <c r="C150" s="31"/>
    </row>
    <row r="151" spans="2:3" x14ac:dyDescent="0.25">
      <c r="B151" s="10"/>
      <c r="C151" s="31"/>
    </row>
    <row r="152" spans="2:3" x14ac:dyDescent="0.25">
      <c r="B152" s="10"/>
      <c r="C152" s="31"/>
    </row>
    <row r="153" spans="2:3" x14ac:dyDescent="0.25">
      <c r="B153" s="10"/>
      <c r="C153" s="31"/>
    </row>
    <row r="154" spans="2:3" x14ac:dyDescent="0.25">
      <c r="B154" s="10"/>
      <c r="C154" s="31"/>
    </row>
    <row r="155" spans="2:3" x14ac:dyDescent="0.25">
      <c r="B155" s="10"/>
      <c r="C155" s="31"/>
    </row>
    <row r="156" spans="2:3" x14ac:dyDescent="0.25">
      <c r="B156" s="10"/>
      <c r="C156" s="31"/>
    </row>
    <row r="157" spans="2:3" x14ac:dyDescent="0.25">
      <c r="B157" s="10"/>
      <c r="C157" s="31"/>
    </row>
    <row r="158" spans="2:3" x14ac:dyDescent="0.25">
      <c r="B158" s="10"/>
      <c r="C158" s="31"/>
    </row>
    <row r="159" spans="2:3" x14ac:dyDescent="0.25">
      <c r="B159" s="10"/>
      <c r="C159" s="31"/>
    </row>
    <row r="160" spans="2:3" x14ac:dyDescent="0.25">
      <c r="B160" s="10"/>
      <c r="C160" s="31"/>
    </row>
    <row r="161" spans="2:3" x14ac:dyDescent="0.25">
      <c r="B161" s="10"/>
      <c r="C161" s="31"/>
    </row>
    <row r="162" spans="2:3" x14ac:dyDescent="0.25">
      <c r="B162" s="10"/>
      <c r="C162" s="31"/>
    </row>
    <row r="163" spans="2:3" x14ac:dyDescent="0.25">
      <c r="B163" s="10"/>
      <c r="C163" s="31"/>
    </row>
    <row r="164" spans="2:3" x14ac:dyDescent="0.25">
      <c r="B164" s="10"/>
      <c r="C164" s="31"/>
    </row>
    <row r="165" spans="2:3" x14ac:dyDescent="0.25">
      <c r="B165" s="10"/>
      <c r="C165" s="31"/>
    </row>
    <row r="166" spans="2:3" x14ac:dyDescent="0.25">
      <c r="B166" s="10"/>
      <c r="C166" s="31"/>
    </row>
    <row r="167" spans="2:3" x14ac:dyDescent="0.25">
      <c r="B167" s="10"/>
      <c r="C167" s="31"/>
    </row>
  </sheetData>
  <autoFilter ref="A17:CT74" xr:uid="{00000000-0009-0000-0000-000005000000}"/>
  <sortState xmlns:xlrd2="http://schemas.microsoft.com/office/spreadsheetml/2017/richdata2" ref="A86:R111">
    <sortCondition ref="R86:R111"/>
  </sortState>
  <hyperlinks>
    <hyperlink ref="B2" r:id="rId1" xr:uid="{00000000-0004-0000-05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5"/>
  <sheetViews>
    <sheetView workbookViewId="0">
      <selection activeCell="V12" sqref="V12"/>
    </sheetView>
  </sheetViews>
  <sheetFormatPr defaultRowHeight="15" x14ac:dyDescent="0.25"/>
  <cols>
    <col min="1" max="1" width="19.85546875" customWidth="1"/>
    <col min="2" max="17" width="10.7109375" customWidth="1"/>
  </cols>
  <sheetData>
    <row r="1" spans="1:17" ht="21" x14ac:dyDescent="0.35">
      <c r="A1" s="3" t="s">
        <v>142</v>
      </c>
    </row>
    <row r="3" spans="1:17" x14ac:dyDescent="0.25">
      <c r="A3" t="s">
        <v>140</v>
      </c>
    </row>
    <row r="5" spans="1:17" x14ac:dyDescent="0.25">
      <c r="B5" s="9" t="s">
        <v>14</v>
      </c>
      <c r="C5" s="9" t="s">
        <v>129</v>
      </c>
      <c r="D5" s="9" t="s">
        <v>7</v>
      </c>
      <c r="E5" s="9" t="s">
        <v>13</v>
      </c>
      <c r="F5" s="9" t="s">
        <v>8</v>
      </c>
      <c r="G5" s="9" t="s">
        <v>9</v>
      </c>
      <c r="H5" s="9" t="s">
        <v>133</v>
      </c>
      <c r="I5" s="9" t="s">
        <v>134</v>
      </c>
      <c r="J5" s="9" t="s">
        <v>131</v>
      </c>
      <c r="K5" s="9" t="s">
        <v>10</v>
      </c>
      <c r="L5" s="9" t="s">
        <v>12</v>
      </c>
      <c r="M5" s="9" t="s">
        <v>11</v>
      </c>
      <c r="N5" s="9" t="s">
        <v>15</v>
      </c>
      <c r="O5" s="9" t="s">
        <v>138</v>
      </c>
      <c r="P5" s="9" t="s">
        <v>137</v>
      </c>
      <c r="Q5" s="9" t="s">
        <v>6</v>
      </c>
    </row>
    <row r="6" spans="1:17" x14ac:dyDescent="0.25">
      <c r="A6" t="s">
        <v>139</v>
      </c>
      <c r="B6" s="10">
        <f>VOLL_CONE_RS_DK!B9</f>
        <v>23355.704697986577</v>
      </c>
      <c r="C6" s="10">
        <v>7300</v>
      </c>
      <c r="D6" s="9">
        <v>33000</v>
      </c>
      <c r="E6" s="9">
        <v>4016</v>
      </c>
      <c r="F6" s="9">
        <v>20000</v>
      </c>
      <c r="G6" s="9">
        <v>12832</v>
      </c>
      <c r="H6" s="9">
        <v>12240</v>
      </c>
      <c r="I6" s="9">
        <v>12240</v>
      </c>
      <c r="J6" s="9" t="s">
        <v>118</v>
      </c>
      <c r="K6" s="9">
        <v>10700</v>
      </c>
      <c r="L6" s="9">
        <v>6838</v>
      </c>
      <c r="M6" s="9">
        <v>8000</v>
      </c>
      <c r="N6" s="9">
        <v>8132</v>
      </c>
      <c r="O6" s="9">
        <v>17700</v>
      </c>
      <c r="P6" s="9" t="s">
        <v>118</v>
      </c>
      <c r="Q6" s="9">
        <v>68887</v>
      </c>
    </row>
    <row r="9" spans="1:17" x14ac:dyDescent="0.25">
      <c r="B9" s="9" t="s">
        <v>16</v>
      </c>
      <c r="C9" s="9" t="s">
        <v>130</v>
      </c>
      <c r="D9" s="9" t="s">
        <v>17</v>
      </c>
      <c r="E9" s="9" t="s">
        <v>18</v>
      </c>
      <c r="F9" s="9" t="s">
        <v>19</v>
      </c>
      <c r="G9" s="9" t="s">
        <v>20</v>
      </c>
      <c r="H9" s="9" t="s">
        <v>136</v>
      </c>
      <c r="I9" s="9" t="s">
        <v>135</v>
      </c>
      <c r="J9" s="9" t="s">
        <v>132</v>
      </c>
      <c r="K9" s="9" t="s">
        <v>21</v>
      </c>
      <c r="L9" s="9" t="s">
        <v>22</v>
      </c>
      <c r="M9" s="9" t="s">
        <v>23</v>
      </c>
      <c r="N9" s="9" t="s">
        <v>24</v>
      </c>
      <c r="O9" s="9" t="s">
        <v>138</v>
      </c>
      <c r="P9" s="9" t="s">
        <v>137</v>
      </c>
      <c r="Q9" s="9" t="s">
        <v>6</v>
      </c>
    </row>
    <row r="10" spans="1:17" x14ac:dyDescent="0.25">
      <c r="A10" t="s">
        <v>141</v>
      </c>
      <c r="B10" s="10">
        <f>VOLL_CONE_RS_DK!Q61</f>
        <v>42093.635514759044</v>
      </c>
      <c r="C10" s="10">
        <v>63000</v>
      </c>
      <c r="D10" s="9">
        <v>60000</v>
      </c>
      <c r="E10" s="9">
        <v>57958</v>
      </c>
      <c r="F10" s="9">
        <v>53000</v>
      </c>
      <c r="G10" s="9">
        <v>30000</v>
      </c>
      <c r="H10" s="27">
        <v>33905</v>
      </c>
      <c r="I10" s="27">
        <v>33905</v>
      </c>
      <c r="J10" s="27">
        <v>115990</v>
      </c>
      <c r="K10" s="9">
        <v>21753</v>
      </c>
      <c r="L10" s="9">
        <v>18735</v>
      </c>
      <c r="M10" s="9">
        <v>17000</v>
      </c>
      <c r="N10" s="9">
        <v>7537</v>
      </c>
      <c r="O10" s="9" t="s">
        <v>118</v>
      </c>
      <c r="P10" s="9" t="s">
        <v>118</v>
      </c>
      <c r="Q10" s="9" t="s">
        <v>118</v>
      </c>
    </row>
    <row r="13" spans="1:17" x14ac:dyDescent="0.25">
      <c r="B13" s="9" t="s">
        <v>14</v>
      </c>
      <c r="C13" s="9" t="s">
        <v>129</v>
      </c>
      <c r="D13" s="9" t="s">
        <v>7</v>
      </c>
      <c r="E13" s="9" t="s">
        <v>13</v>
      </c>
      <c r="F13" s="9" t="s">
        <v>8</v>
      </c>
      <c r="G13" s="9" t="s">
        <v>9</v>
      </c>
      <c r="H13" s="9" t="s">
        <v>133</v>
      </c>
      <c r="I13" s="9" t="s">
        <v>134</v>
      </c>
      <c r="J13" s="9" t="s">
        <v>131</v>
      </c>
      <c r="K13" s="9" t="s">
        <v>10</v>
      </c>
      <c r="L13" s="9" t="s">
        <v>12</v>
      </c>
      <c r="M13" s="9" t="s">
        <v>11</v>
      </c>
      <c r="N13" s="9" t="s">
        <v>15</v>
      </c>
      <c r="O13" s="9" t="s">
        <v>138</v>
      </c>
      <c r="P13" s="9" t="s">
        <v>137</v>
      </c>
      <c r="Q13" s="9" t="s">
        <v>6</v>
      </c>
    </row>
    <row r="14" spans="1:17" x14ac:dyDescent="0.25">
      <c r="A14" t="s">
        <v>143</v>
      </c>
      <c r="B14" s="31" t="s">
        <v>118</v>
      </c>
      <c r="C14" s="31">
        <v>9</v>
      </c>
      <c r="D14" s="31">
        <f>+D10/D6</f>
        <v>1.8181818181818181</v>
      </c>
      <c r="E14" s="31">
        <v>15</v>
      </c>
      <c r="F14" s="31">
        <v>3</v>
      </c>
      <c r="G14" s="31">
        <v>3</v>
      </c>
      <c r="H14" s="31">
        <v>2.77</v>
      </c>
      <c r="I14" s="31">
        <v>2.77</v>
      </c>
      <c r="J14" s="31">
        <v>8</v>
      </c>
      <c r="K14" s="31" t="s">
        <v>118</v>
      </c>
      <c r="L14" s="31">
        <v>3</v>
      </c>
      <c r="M14" s="31">
        <v>2.1</v>
      </c>
      <c r="N14" s="31">
        <v>0.99</v>
      </c>
      <c r="O14" s="31" t="s">
        <v>118</v>
      </c>
      <c r="P14" s="31">
        <v>5</v>
      </c>
      <c r="Q14" s="31">
        <v>4</v>
      </c>
    </row>
    <row r="15" spans="1:17" x14ac:dyDescent="0.25">
      <c r="A15" t="s">
        <v>144</v>
      </c>
      <c r="B15" s="9">
        <f t="shared" ref="B15:Q15" si="0">B10/B6</f>
        <v>1.802284968879051</v>
      </c>
      <c r="C15" s="9">
        <f t="shared" si="0"/>
        <v>8.6301369863013697</v>
      </c>
      <c r="D15" s="9">
        <f t="shared" si="0"/>
        <v>1.8181818181818181</v>
      </c>
      <c r="E15" s="9">
        <f t="shared" si="0"/>
        <v>14.431772908366534</v>
      </c>
      <c r="F15" s="9">
        <f t="shared" si="0"/>
        <v>2.65</v>
      </c>
      <c r="G15" s="9">
        <f t="shared" si="0"/>
        <v>2.3379052369077309</v>
      </c>
      <c r="H15" s="9">
        <f t="shared" si="0"/>
        <v>2.7700163398692812</v>
      </c>
      <c r="I15" s="9">
        <f t="shared" si="0"/>
        <v>2.7700163398692812</v>
      </c>
      <c r="J15" s="9" t="e">
        <f t="shared" si="0"/>
        <v>#VALUE!</v>
      </c>
      <c r="K15" s="9">
        <f t="shared" si="0"/>
        <v>2.0329906542056073</v>
      </c>
      <c r="L15" s="9">
        <f t="shared" si="0"/>
        <v>2.7398362094179585</v>
      </c>
      <c r="M15" s="9">
        <f t="shared" si="0"/>
        <v>2.125</v>
      </c>
      <c r="N15" s="9">
        <f t="shared" si="0"/>
        <v>0.92683226758484993</v>
      </c>
      <c r="O15" s="9" t="e">
        <f t="shared" si="0"/>
        <v>#VALUE!</v>
      </c>
      <c r="P15" s="9" t="e">
        <f t="shared" si="0"/>
        <v>#VALUE!</v>
      </c>
      <c r="Q15" s="9" t="e">
        <f t="shared" si="0"/>
        <v>#VALUE!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Regneark</vt:lpstr>
      </vt:variant>
      <vt:variant>
        <vt:i4>3</vt:i4>
      </vt:variant>
      <vt:variant>
        <vt:lpstr>Diagrammer</vt:lpstr>
      </vt:variant>
      <vt:variant>
        <vt:i4>4</vt:i4>
      </vt:variant>
      <vt:variant>
        <vt:lpstr>Navngivne områder</vt:lpstr>
      </vt:variant>
      <vt:variant>
        <vt:i4>26</vt:i4>
      </vt:variant>
    </vt:vector>
  </HeadingPairs>
  <TitlesOfParts>
    <vt:vector size="33" baseType="lpstr">
      <vt:lpstr>Prices</vt:lpstr>
      <vt:lpstr>VOLL_CONE_RS_DK</vt:lpstr>
      <vt:lpstr>VOLL_CONE_RS_Comparison</vt:lpstr>
      <vt:lpstr>CONE_fixed</vt:lpstr>
      <vt:lpstr>LOLE</vt:lpstr>
      <vt:lpstr>CONE_var</vt:lpstr>
      <vt:lpstr>DeratingTotal</vt:lpstr>
      <vt:lpstr>BiogasPrice</vt:lpstr>
      <vt:lpstr>Carbonprice</vt:lpstr>
      <vt:lpstr>CoalPrice</vt:lpstr>
      <vt:lpstr>EURO_exchange_rate</vt:lpstr>
      <vt:lpstr>FueloilPrice</vt:lpstr>
      <vt:lpstr>GasoilPriceCentral</vt:lpstr>
      <vt:lpstr>GasoilPriceSmall</vt:lpstr>
      <vt:lpstr>Heat_capacity_fixed_operating_costs</vt:lpstr>
      <vt:lpstr>Heat_capacity_unit_investment_cost</vt:lpstr>
      <vt:lpstr>Prices!HydrogenPrice</vt:lpstr>
      <vt:lpstr>HydrogenPrice</vt:lpstr>
      <vt:lpstr>NatgasPriceCentral</vt:lpstr>
      <vt:lpstr>NatgasPriceSmall</vt:lpstr>
      <vt:lpstr>StrawPriceCentral</vt:lpstr>
      <vt:lpstr>StrawPriceSmall</vt:lpstr>
      <vt:lpstr>Prices!UraniumPrice</vt:lpstr>
      <vt:lpstr>UraniumPrice</vt:lpstr>
      <vt:lpstr>VOLL</vt:lpstr>
      <vt:lpstr>WACC</vt:lpstr>
      <vt:lpstr>Prices!WastePrice</vt:lpstr>
      <vt:lpstr>WastePrice</vt:lpstr>
      <vt:lpstr>WCPriceCentral</vt:lpstr>
      <vt:lpstr>WCPriceSmall</vt:lpstr>
      <vt:lpstr>WPpriceCentral</vt:lpstr>
      <vt:lpstr>WPPriceSmall</vt:lpstr>
      <vt:lpstr>Year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Sigurd Lauge Pedersen</dc:creator>
  <cp:lastModifiedBy>Anna Gammelby Dahlgaard</cp:lastModifiedBy>
  <dcterms:created xsi:type="dcterms:W3CDTF">2020-01-22T14:11:01Z</dcterms:created>
  <dcterms:modified xsi:type="dcterms:W3CDTF">2025-12-03T14:00:58Z</dcterms:modified>
</cp:coreProperties>
</file>